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4160" windowHeight="8670" activeTab="0"/>
  </bookViews>
  <sheets>
    <sheet name="1_Power Consumption Sheet" sheetId="1" r:id="rId1"/>
    <sheet name="2_Speaker System Sheet" sheetId="2" r:id="rId2"/>
    <sheet name="3_Printout" sheetId="3" r:id="rId3"/>
  </sheets>
  <definedNames>
    <definedName name="_xlnm.Print_Area" localSheetId="2">'3_Printout'!$A$1:$K$66,'3_Printout'!$A$70:$K$134</definedName>
  </definedNames>
  <calcPr fullCalcOnLoad="1"/>
</workbook>
</file>

<file path=xl/sharedStrings.xml><?xml version="1.0" encoding="utf-8"?>
<sst xmlns="http://schemas.openxmlformats.org/spreadsheetml/2006/main" count="682" uniqueCount="156">
  <si>
    <t>Power Consumption Sheet</t>
  </si>
  <si>
    <t>Amplifiers</t>
  </si>
  <si>
    <t>No.</t>
  </si>
  <si>
    <t>Name</t>
  </si>
  <si>
    <t>Stocks</t>
  </si>
  <si>
    <t>Remains</t>
  </si>
  <si>
    <t>Power</t>
  </si>
  <si>
    <t>Ch</t>
  </si>
  <si>
    <t>Input</t>
  </si>
  <si>
    <t>Speakers</t>
  </si>
  <si>
    <t>Impedance</t>
  </si>
  <si>
    <t>No.</t>
  </si>
  <si>
    <t>YAMAHA</t>
  </si>
  <si>
    <t>P5000S</t>
  </si>
  <si>
    <t>PC3500</t>
  </si>
  <si>
    <t>P2500S</t>
  </si>
  <si>
    <t>PC2002M</t>
  </si>
  <si>
    <t>PC1002</t>
  </si>
  <si>
    <t>A150</t>
  </si>
  <si>
    <t>-</t>
  </si>
  <si>
    <t>S215V</t>
  </si>
  <si>
    <t>WF115</t>
  </si>
  <si>
    <t>Electro Voice</t>
  </si>
  <si>
    <t>Sx300</t>
  </si>
  <si>
    <t>SM15IV</t>
  </si>
  <si>
    <t>Eliminator-Monitor</t>
  </si>
  <si>
    <t>SM12H-II</t>
  </si>
  <si>
    <t>S200</t>
  </si>
  <si>
    <t>BOSE</t>
  </si>
  <si>
    <t>101MM</t>
  </si>
  <si>
    <t>Maker</t>
  </si>
  <si>
    <t>Output 8Ω</t>
  </si>
  <si>
    <t>Output 4Ω</t>
  </si>
  <si>
    <t>Bridge 8Ω</t>
  </si>
  <si>
    <t>Sum</t>
  </si>
  <si>
    <t>Output 2</t>
  </si>
  <si>
    <t>Output 1</t>
  </si>
  <si>
    <t>Plan</t>
  </si>
  <si>
    <t>Failures</t>
  </si>
  <si>
    <t>Speakers 1</t>
  </si>
  <si>
    <t>Speakers 2</t>
  </si>
  <si>
    <t>Consoles</t>
  </si>
  <si>
    <t>Outboards</t>
  </si>
  <si>
    <t>Type</t>
  </si>
  <si>
    <t>Input Ch</t>
  </si>
  <si>
    <t>Aux</t>
  </si>
  <si>
    <t>Bus</t>
  </si>
  <si>
    <t>GA32/12</t>
  </si>
  <si>
    <t>Effects</t>
  </si>
  <si>
    <t>No Effects</t>
  </si>
  <si>
    <t>MC1604II</t>
  </si>
  <si>
    <t>0 ~ 4</t>
  </si>
  <si>
    <t>6 ~ 10</t>
  </si>
  <si>
    <t>MG16/6FX</t>
  </si>
  <si>
    <t>16 Type</t>
  </si>
  <si>
    <t>dbx</t>
  </si>
  <si>
    <t>Equalizer</t>
  </si>
  <si>
    <t>Equalizer</t>
  </si>
  <si>
    <t>160A</t>
  </si>
  <si>
    <t>Compressor</t>
  </si>
  <si>
    <t>166XL</t>
  </si>
  <si>
    <t>SPX2000</t>
  </si>
  <si>
    <t>Multi Effects</t>
  </si>
  <si>
    <t>2in / 2out</t>
  </si>
  <si>
    <t>SPX900</t>
  </si>
  <si>
    <t>SPX90</t>
  </si>
  <si>
    <t>1in / 2out</t>
  </si>
  <si>
    <t>Marantz</t>
  </si>
  <si>
    <t>PMD331</t>
  </si>
  <si>
    <t>1deck</t>
  </si>
  <si>
    <t>CD Player</t>
  </si>
  <si>
    <t>CDR510</t>
  </si>
  <si>
    <t>2decks</t>
  </si>
  <si>
    <t>SONY</t>
  </si>
  <si>
    <t>MDS-E12</t>
  </si>
  <si>
    <t>1deck</t>
  </si>
  <si>
    <t>Total Sum</t>
  </si>
  <si>
    <t>Players</t>
  </si>
  <si>
    <t>MD Player</t>
  </si>
  <si>
    <t>EQ Ch</t>
  </si>
  <si>
    <t>Comp Ch</t>
  </si>
  <si>
    <t>Amp Ch</t>
  </si>
  <si>
    <t>+</t>
  </si>
  <si>
    <t>=</t>
  </si>
  <si>
    <t>Amplifires</t>
  </si>
  <si>
    <t>PA Booth</t>
  </si>
  <si>
    <t>Amplifiers</t>
  </si>
  <si>
    <t>Nm</t>
  </si>
  <si>
    <t>Speakers</t>
  </si>
  <si>
    <t>Outboards</t>
  </si>
  <si>
    <t>Power</t>
  </si>
  <si>
    <t>Rm</t>
  </si>
  <si>
    <t>Rm</t>
  </si>
  <si>
    <t>Number Table</t>
  </si>
  <si>
    <t>Outlet No.</t>
  </si>
  <si>
    <t>Total</t>
  </si>
  <si>
    <t>No. 2</t>
  </si>
  <si>
    <t>No. 3</t>
  </si>
  <si>
    <t>No. 4</t>
  </si>
  <si>
    <t>No. 5</t>
  </si>
  <si>
    <t>No. 1</t>
  </si>
  <si>
    <t>Total Power Consumption</t>
  </si>
  <si>
    <t>No. 6</t>
  </si>
  <si>
    <t>No. 7</t>
  </si>
  <si>
    <t>No. 8</t>
  </si>
  <si>
    <t>No. 9</t>
  </si>
  <si>
    <t>No. 10</t>
  </si>
  <si>
    <t>Speaker System Sheet</t>
  </si>
  <si>
    <t>Stocks</t>
  </si>
  <si>
    <t>Amplifier 1</t>
  </si>
  <si>
    <t>Note</t>
  </si>
  <si>
    <t>Stereo</t>
  </si>
  <si>
    <t>Bridge</t>
  </si>
  <si>
    <t>Ch 1</t>
  </si>
  <si>
    <t>Ch 2</t>
  </si>
  <si>
    <t>Amplifier</t>
  </si>
  <si>
    <t>Connection</t>
  </si>
  <si>
    <t>Classification</t>
  </si>
  <si>
    <t>Parallel</t>
  </si>
  <si>
    <t>&lt;--</t>
  </si>
  <si>
    <t>Output</t>
  </si>
  <si>
    <t>Classification</t>
  </si>
  <si>
    <t>Suitableness</t>
  </si>
  <si>
    <t>Result of Calculation</t>
  </si>
  <si>
    <t>Amplifier 2</t>
  </si>
  <si>
    <t>Amplifier 3</t>
  </si>
  <si>
    <t>Amplifier 4</t>
  </si>
  <si>
    <t>Amplifier 5</t>
  </si>
  <si>
    <t>No.</t>
  </si>
  <si>
    <t>Outlet No.</t>
  </si>
  <si>
    <t>by AC Outlet</t>
  </si>
  <si>
    <t>Power Consumption Sheet</t>
  </si>
  <si>
    <t>Consoles</t>
  </si>
  <si>
    <t>No.</t>
  </si>
  <si>
    <t>Maker</t>
  </si>
  <si>
    <t>Name</t>
  </si>
  <si>
    <t>Power</t>
  </si>
  <si>
    <t>Outlet No.</t>
  </si>
  <si>
    <t>Outboards</t>
  </si>
  <si>
    <t>Power Consumption</t>
  </si>
  <si>
    <t>Amplifires</t>
  </si>
  <si>
    <t>PA Booth</t>
  </si>
  <si>
    <t>+</t>
  </si>
  <si>
    <t>Attenuater</t>
  </si>
  <si>
    <t>Attenuater</t>
  </si>
  <si>
    <t xml:space="preserve">Ch1 for … </t>
  </si>
  <si>
    <t xml:space="preserve">Ch2 for … </t>
  </si>
  <si>
    <t>Amplifier 1</t>
  </si>
  <si>
    <t>Amplifier</t>
  </si>
  <si>
    <t>Connection</t>
  </si>
  <si>
    <t>Ch 1</t>
  </si>
  <si>
    <t>Speakers / Connection</t>
  </si>
  <si>
    <t>Title:</t>
  </si>
  <si>
    <t>ver.</t>
  </si>
  <si>
    <t>SM12V</t>
  </si>
  <si>
    <t>ver.1.04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</si>
</sst>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8">
    <font>
      <sz val="11"/>
      <name val="ＤＦＧ中太丸ゴシック体"/>
      <family val="3"/>
    </font>
    <font>
      <sz val="6"/>
      <name val="ＤＦＧ中太丸ゴシック体"/>
      <family val="3"/>
    </font>
    <font>
      <sz val="8"/>
      <name val="Verdana"/>
      <family val="2"/>
    </font>
    <font>
      <sz val="14"/>
      <name val="Verdana"/>
      <family val="2"/>
    </font>
    <font>
      <b/>
      <sz val="8"/>
      <color indexed="43"/>
      <name val="Verdana"/>
      <family val="2"/>
    </font>
    <font>
      <b/>
      <sz val="8"/>
      <color indexed="42"/>
      <name val="Verdana"/>
      <family val="2"/>
    </font>
    <font>
      <b/>
      <sz val="8"/>
      <color indexed="53"/>
      <name val="Verdana"/>
      <family val="2"/>
    </font>
    <font>
      <b/>
      <sz val="8"/>
      <color indexed="48"/>
      <name val="Verdana"/>
      <family val="2"/>
    </font>
    <font>
      <b/>
      <i/>
      <sz val="12"/>
      <color indexed="53"/>
      <name val="Verdana"/>
      <family val="2"/>
    </font>
    <font>
      <i/>
      <sz val="10"/>
      <color indexed="48"/>
      <name val="Verdana"/>
      <family val="2"/>
    </font>
    <font>
      <b/>
      <sz val="8"/>
      <color indexed="47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i/>
      <sz val="10"/>
      <name val="Verdana"/>
      <family val="2"/>
    </font>
    <font>
      <u val="single"/>
      <sz val="11"/>
      <color indexed="12"/>
      <name val="ＤＦＧ中太丸ゴシック体"/>
      <family val="3"/>
    </font>
    <font>
      <u val="single"/>
      <sz val="11"/>
      <color indexed="36"/>
      <name val="ＤＦＧ中太丸ゴシック体"/>
      <family val="3"/>
    </font>
    <font>
      <i/>
      <sz val="12"/>
      <color indexed="48"/>
      <name val="Verdana"/>
      <family val="2"/>
    </font>
    <font>
      <i/>
      <sz val="12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lightGray">
        <fgColor indexed="43"/>
        <bgColor indexed="9"/>
      </patternFill>
    </fill>
    <fill>
      <patternFill patternType="lightGray">
        <fgColor indexed="44"/>
        <bgColor indexed="9"/>
      </patternFill>
    </fill>
    <fill>
      <patternFill patternType="lightGray">
        <fgColor indexed="43"/>
      </patternFill>
    </fill>
    <fill>
      <patternFill patternType="lightGray">
        <fgColor indexed="47"/>
        <bgColor indexed="9"/>
      </patternFill>
    </fill>
    <fill>
      <patternFill patternType="lightGray">
        <fgColor indexed="47"/>
      </patternFill>
    </fill>
    <fill>
      <patternFill patternType="lightGray">
        <fgColor indexed="44"/>
      </patternFill>
    </fill>
    <fill>
      <patternFill patternType="lightGray">
        <fgColor indexed="8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22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4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2" fillId="0" borderId="1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56" fontId="2" fillId="0" borderId="1" xfId="0" applyNumberFormat="1" applyFont="1" applyBorder="1" applyAlignment="1" applyProtection="1">
      <alignment vertical="center"/>
      <protection locked="0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5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176" fontId="2" fillId="3" borderId="1" xfId="0" applyNumberFormat="1" applyFont="1" applyFill="1" applyBorder="1" applyAlignment="1">
      <alignment vertical="center"/>
    </xf>
    <xf numFmtId="0" fontId="2" fillId="7" borderId="1" xfId="0" applyNumberFormat="1" applyFont="1" applyFill="1" applyBorder="1" applyAlignment="1" applyProtection="1">
      <alignment vertical="center"/>
      <protection/>
    </xf>
    <xf numFmtId="0" fontId="2" fillId="5" borderId="1" xfId="0" applyNumberFormat="1" applyFont="1" applyFill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3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0" fontId="2" fillId="5" borderId="6" xfId="0" applyFont="1" applyFill="1" applyBorder="1" applyAlignment="1" applyProtection="1">
      <alignment vertical="center"/>
      <protection/>
    </xf>
    <xf numFmtId="0" fontId="2" fillId="6" borderId="1" xfId="0" applyFont="1" applyFill="1" applyBorder="1" applyAlignment="1" applyProtection="1">
      <alignment vertical="center"/>
      <protection/>
    </xf>
    <xf numFmtId="0" fontId="2" fillId="3" borderId="1" xfId="0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vertical="center"/>
      <protection/>
    </xf>
    <xf numFmtId="0" fontId="2" fillId="5" borderId="7" xfId="0" applyFont="1" applyFill="1" applyBorder="1" applyAlignment="1" applyProtection="1">
      <alignment vertical="center"/>
      <protection/>
    </xf>
    <xf numFmtId="0" fontId="2" fillId="5" borderId="8" xfId="0" applyFont="1" applyFill="1" applyBorder="1" applyAlignment="1" applyProtection="1">
      <alignment vertical="center"/>
      <protection/>
    </xf>
    <xf numFmtId="49" fontId="11" fillId="3" borderId="3" xfId="0" applyNumberFormat="1" applyFont="1" applyFill="1" applyBorder="1" applyAlignment="1" applyProtection="1">
      <alignment vertical="center"/>
      <protection/>
    </xf>
    <xf numFmtId="49" fontId="11" fillId="3" borderId="3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49" fontId="11" fillId="0" borderId="1" xfId="0" applyNumberFormat="1" applyFont="1" applyBorder="1" applyAlignment="1">
      <alignment vertical="center"/>
    </xf>
    <xf numFmtId="0" fontId="11" fillId="5" borderId="1" xfId="0" applyNumberFormat="1" applyFont="1" applyFill="1" applyBorder="1" applyAlignment="1" applyProtection="1">
      <alignment vertical="center"/>
      <protection/>
    </xf>
    <xf numFmtId="0" fontId="11" fillId="3" borderId="3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11" fillId="9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11" fillId="9" borderId="10" xfId="0" applyFont="1" applyFill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17" fillId="0" borderId="12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49" fontId="11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 vertical="center"/>
    </xf>
    <xf numFmtId="0" fontId="12" fillId="0" borderId="12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FF66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84"/>
  <sheetViews>
    <sheetView tabSelected="1" workbookViewId="0" topLeftCell="A1">
      <pane ySplit="7170" topLeftCell="BM165" activePane="topLeft" state="split"/>
      <selection pane="topLeft" activeCell="A1" sqref="A1"/>
      <selection pane="bottomLeft" activeCell="I183" sqref="I183"/>
    </sheetView>
  </sheetViews>
  <sheetFormatPr defaultColWidth="8.796875" defaultRowHeight="14.25"/>
  <cols>
    <col min="1" max="1" width="2.796875" style="1" customWidth="1"/>
    <col min="2" max="22" width="8.296875" style="1" customWidth="1"/>
  </cols>
  <sheetData>
    <row r="1" spans="2:7" ht="18">
      <c r="B1" s="2" t="s">
        <v>0</v>
      </c>
      <c r="C1" s="2"/>
      <c r="G1" s="1" t="s">
        <v>155</v>
      </c>
    </row>
    <row r="2" spans="2:11" ht="15">
      <c r="B2" s="71" t="s">
        <v>152</v>
      </c>
      <c r="C2" s="96"/>
      <c r="D2" s="96"/>
      <c r="E2" s="96"/>
      <c r="F2" s="96"/>
      <c r="G2" s="96"/>
      <c r="K2" s="30" t="s">
        <v>153</v>
      </c>
    </row>
    <row r="4" ht="15">
      <c r="A4" s="6" t="s">
        <v>1</v>
      </c>
    </row>
    <row r="5" ht="13.5">
      <c r="A5" s="7" t="s">
        <v>4</v>
      </c>
    </row>
    <row r="6" spans="1:11" ht="13.5">
      <c r="A6" s="3" t="s">
        <v>2</v>
      </c>
      <c r="B6" s="16" t="s">
        <v>30</v>
      </c>
      <c r="C6" s="16" t="s">
        <v>3</v>
      </c>
      <c r="D6" s="16" t="s">
        <v>4</v>
      </c>
      <c r="E6" s="16" t="s">
        <v>38</v>
      </c>
      <c r="F6" s="3" t="s">
        <v>5</v>
      </c>
      <c r="G6" s="16" t="s">
        <v>6</v>
      </c>
      <c r="H6" s="16" t="s">
        <v>31</v>
      </c>
      <c r="I6" s="16" t="s">
        <v>32</v>
      </c>
      <c r="J6" s="16" t="s">
        <v>33</v>
      </c>
      <c r="K6" s="16" t="s">
        <v>7</v>
      </c>
    </row>
    <row r="7" spans="1:11" ht="13.5">
      <c r="A7" s="8">
        <v>1</v>
      </c>
      <c r="B7" s="28" t="s">
        <v>12</v>
      </c>
      <c r="C7" s="56" t="s">
        <v>13</v>
      </c>
      <c r="D7" s="14">
        <v>1</v>
      </c>
      <c r="E7" s="14">
        <v>0</v>
      </c>
      <c r="F7" s="10">
        <f>IF($D7="","",$D7-$E7-COUNTIF($B$35:$B$44,$A7))</f>
        <v>1</v>
      </c>
      <c r="G7" s="15">
        <v>500</v>
      </c>
      <c r="H7" s="14">
        <v>500</v>
      </c>
      <c r="I7" s="14">
        <v>750</v>
      </c>
      <c r="J7" s="14">
        <v>1500</v>
      </c>
      <c r="K7" s="15">
        <v>2</v>
      </c>
    </row>
    <row r="8" spans="1:11" ht="13.5">
      <c r="A8" s="8">
        <v>2</v>
      </c>
      <c r="B8" s="28" t="s">
        <v>12</v>
      </c>
      <c r="C8" s="56" t="s">
        <v>14</v>
      </c>
      <c r="D8" s="14">
        <v>2</v>
      </c>
      <c r="E8" s="14">
        <v>0</v>
      </c>
      <c r="F8" s="10">
        <f aca="true" t="shared" si="0" ref="F8:F16">IF($D8="","",$D8-$E8-COUNTIF($B$35:$B$44,$A8))</f>
        <v>2</v>
      </c>
      <c r="G8" s="15">
        <v>450</v>
      </c>
      <c r="H8" s="14">
        <v>350</v>
      </c>
      <c r="I8" s="14">
        <v>500</v>
      </c>
      <c r="J8" s="14">
        <v>1000</v>
      </c>
      <c r="K8" s="15">
        <v>2</v>
      </c>
    </row>
    <row r="9" spans="1:11" ht="13.5">
      <c r="A9" s="8">
        <v>3</v>
      </c>
      <c r="B9" s="28" t="s">
        <v>12</v>
      </c>
      <c r="C9" s="56" t="s">
        <v>15</v>
      </c>
      <c r="D9" s="14">
        <v>2</v>
      </c>
      <c r="E9" s="14">
        <v>0</v>
      </c>
      <c r="F9" s="10">
        <f t="shared" si="0"/>
        <v>2</v>
      </c>
      <c r="G9" s="15">
        <v>320</v>
      </c>
      <c r="H9" s="14">
        <v>250</v>
      </c>
      <c r="I9" s="14">
        <v>390</v>
      </c>
      <c r="J9" s="14">
        <v>780</v>
      </c>
      <c r="K9" s="15">
        <v>2</v>
      </c>
    </row>
    <row r="10" spans="1:11" ht="13.5">
      <c r="A10" s="8">
        <v>4</v>
      </c>
      <c r="B10" s="28" t="s">
        <v>12</v>
      </c>
      <c r="C10" s="56" t="s">
        <v>16</v>
      </c>
      <c r="D10" s="14">
        <v>1</v>
      </c>
      <c r="E10" s="14">
        <v>0</v>
      </c>
      <c r="F10" s="10">
        <f t="shared" si="0"/>
        <v>1</v>
      </c>
      <c r="G10" s="15">
        <v>350</v>
      </c>
      <c r="H10" s="14">
        <v>240</v>
      </c>
      <c r="I10" s="14" t="s">
        <v>19</v>
      </c>
      <c r="J10" s="14" t="s">
        <v>19</v>
      </c>
      <c r="K10" s="15">
        <v>2</v>
      </c>
    </row>
    <row r="11" spans="1:11" ht="13.5">
      <c r="A11" s="8">
        <v>5</v>
      </c>
      <c r="B11" s="28" t="s">
        <v>12</v>
      </c>
      <c r="C11" s="56" t="s">
        <v>18</v>
      </c>
      <c r="D11" s="14">
        <v>2</v>
      </c>
      <c r="E11" s="14">
        <v>0</v>
      </c>
      <c r="F11" s="10">
        <f t="shared" si="0"/>
        <v>2</v>
      </c>
      <c r="G11" s="15">
        <v>350</v>
      </c>
      <c r="H11" s="14">
        <v>150</v>
      </c>
      <c r="I11" s="14">
        <v>210</v>
      </c>
      <c r="J11" s="14">
        <v>420</v>
      </c>
      <c r="K11" s="15">
        <v>2</v>
      </c>
    </row>
    <row r="12" spans="1:11" ht="13.5">
      <c r="A12" s="8">
        <v>6</v>
      </c>
      <c r="B12" s="28" t="s">
        <v>12</v>
      </c>
      <c r="C12" s="56" t="s">
        <v>17</v>
      </c>
      <c r="D12" s="14">
        <v>1</v>
      </c>
      <c r="E12" s="14">
        <v>0</v>
      </c>
      <c r="F12" s="10">
        <f t="shared" si="0"/>
        <v>1</v>
      </c>
      <c r="G12" s="15">
        <v>250</v>
      </c>
      <c r="H12" s="14">
        <v>100</v>
      </c>
      <c r="I12" s="14" t="s">
        <v>19</v>
      </c>
      <c r="J12" s="14" t="s">
        <v>19</v>
      </c>
      <c r="K12" s="15">
        <v>2</v>
      </c>
    </row>
    <row r="13" spans="1:11" ht="13.5">
      <c r="A13" s="8">
        <v>7</v>
      </c>
      <c r="B13" s="28"/>
      <c r="C13" s="56"/>
      <c r="D13" s="14"/>
      <c r="E13" s="14"/>
      <c r="F13" s="10">
        <f t="shared" si="0"/>
      </c>
      <c r="G13" s="15"/>
      <c r="H13" s="14"/>
      <c r="I13" s="14"/>
      <c r="J13" s="14"/>
      <c r="K13" s="15"/>
    </row>
    <row r="14" spans="1:11" ht="13.5">
      <c r="A14" s="8">
        <v>8</v>
      </c>
      <c r="B14" s="28"/>
      <c r="C14" s="56"/>
      <c r="D14" s="14"/>
      <c r="E14" s="14"/>
      <c r="F14" s="10">
        <f t="shared" si="0"/>
      </c>
      <c r="G14" s="15"/>
      <c r="H14" s="14"/>
      <c r="I14" s="14"/>
      <c r="J14" s="14"/>
      <c r="K14" s="14"/>
    </row>
    <row r="15" spans="1:11" ht="13.5">
      <c r="A15" s="8">
        <v>9</v>
      </c>
      <c r="B15" s="28"/>
      <c r="C15" s="56"/>
      <c r="D15" s="14"/>
      <c r="E15" s="14"/>
      <c r="F15" s="10">
        <f t="shared" si="0"/>
      </c>
      <c r="G15" s="15"/>
      <c r="H15" s="14"/>
      <c r="I15" s="14"/>
      <c r="J15" s="14"/>
      <c r="K15" s="14"/>
    </row>
    <row r="16" spans="1:11" ht="13.5">
      <c r="A16" s="8">
        <v>10</v>
      </c>
      <c r="B16" s="28"/>
      <c r="C16" s="56"/>
      <c r="D16" s="14"/>
      <c r="E16" s="14"/>
      <c r="F16" s="10">
        <f t="shared" si="0"/>
      </c>
      <c r="G16" s="15"/>
      <c r="H16" s="14"/>
      <c r="I16" s="14"/>
      <c r="J16" s="14"/>
      <c r="K16" s="14"/>
    </row>
    <row r="18" ht="15">
      <c r="A18" s="6" t="s">
        <v>9</v>
      </c>
    </row>
    <row r="19" ht="13.5">
      <c r="A19" s="7" t="s">
        <v>4</v>
      </c>
    </row>
    <row r="20" spans="1:8" ht="13.5">
      <c r="A20" s="3" t="s">
        <v>2</v>
      </c>
      <c r="B20" s="16" t="s">
        <v>30</v>
      </c>
      <c r="C20" s="16" t="s">
        <v>3</v>
      </c>
      <c r="D20" s="16" t="s">
        <v>4</v>
      </c>
      <c r="E20" s="16" t="s">
        <v>38</v>
      </c>
      <c r="F20" s="3" t="s">
        <v>5</v>
      </c>
      <c r="G20" s="16" t="s">
        <v>8</v>
      </c>
      <c r="H20" s="16" t="s">
        <v>10</v>
      </c>
    </row>
    <row r="21" spans="1:11" ht="13.5">
      <c r="A21" s="8">
        <v>1</v>
      </c>
      <c r="B21" s="28" t="s">
        <v>12</v>
      </c>
      <c r="C21" s="56" t="s">
        <v>20</v>
      </c>
      <c r="D21" s="14">
        <v>2</v>
      </c>
      <c r="E21" s="14">
        <v>0</v>
      </c>
      <c r="F21" s="10">
        <f aca="true" t="shared" si="1" ref="F21:F30">IF($D21="","",$D21-$E21-COUNTIF($I$35:$I$44,$A21)-COUNTIF($M$35:$M$44,$A21))</f>
        <v>2</v>
      </c>
      <c r="G21" s="14">
        <v>1000</v>
      </c>
      <c r="H21" s="14">
        <v>4</v>
      </c>
      <c r="J21" s="4"/>
      <c r="K21" s="4"/>
    </row>
    <row r="22" spans="1:11" ht="13.5">
      <c r="A22" s="8">
        <v>2</v>
      </c>
      <c r="B22" s="28" t="s">
        <v>12</v>
      </c>
      <c r="C22" s="56" t="s">
        <v>21</v>
      </c>
      <c r="D22" s="14">
        <v>2</v>
      </c>
      <c r="E22" s="14">
        <v>0</v>
      </c>
      <c r="F22" s="10">
        <f t="shared" si="1"/>
        <v>2</v>
      </c>
      <c r="G22" s="14">
        <v>400</v>
      </c>
      <c r="H22" s="14">
        <v>8</v>
      </c>
      <c r="J22" s="4"/>
      <c r="K22" s="4"/>
    </row>
    <row r="23" spans="1:11" ht="13.5">
      <c r="A23" s="8">
        <v>3</v>
      </c>
      <c r="B23" s="28" t="s">
        <v>22</v>
      </c>
      <c r="C23" s="56" t="s">
        <v>23</v>
      </c>
      <c r="D23" s="14">
        <v>2</v>
      </c>
      <c r="E23" s="14">
        <v>0</v>
      </c>
      <c r="F23" s="10">
        <f t="shared" si="1"/>
        <v>2</v>
      </c>
      <c r="G23" s="14">
        <v>300</v>
      </c>
      <c r="H23" s="14">
        <v>8</v>
      </c>
      <c r="J23" s="4"/>
      <c r="K23" s="4"/>
    </row>
    <row r="24" spans="1:11" ht="13.5">
      <c r="A24" s="8">
        <v>4</v>
      </c>
      <c r="B24" s="28" t="s">
        <v>12</v>
      </c>
      <c r="C24" s="56" t="s">
        <v>24</v>
      </c>
      <c r="D24" s="14">
        <v>2</v>
      </c>
      <c r="E24" s="14">
        <v>0</v>
      </c>
      <c r="F24" s="10">
        <f t="shared" si="1"/>
        <v>2</v>
      </c>
      <c r="G24" s="14">
        <v>500</v>
      </c>
      <c r="H24" s="14">
        <v>8</v>
      </c>
      <c r="J24" s="4"/>
      <c r="K24" s="4"/>
    </row>
    <row r="25" spans="1:11" ht="13.5">
      <c r="A25" s="8">
        <v>5</v>
      </c>
      <c r="B25" s="28" t="s">
        <v>22</v>
      </c>
      <c r="C25" s="56" t="s">
        <v>25</v>
      </c>
      <c r="D25" s="14">
        <v>4</v>
      </c>
      <c r="E25" s="14">
        <v>0</v>
      </c>
      <c r="F25" s="10">
        <f t="shared" si="1"/>
        <v>4</v>
      </c>
      <c r="G25" s="14">
        <v>300</v>
      </c>
      <c r="H25" s="14">
        <v>8</v>
      </c>
      <c r="J25" s="4"/>
      <c r="K25" s="4"/>
    </row>
    <row r="26" spans="1:11" ht="13.5">
      <c r="A26" s="8">
        <v>6</v>
      </c>
      <c r="B26" s="28" t="s">
        <v>12</v>
      </c>
      <c r="C26" s="56" t="s">
        <v>154</v>
      </c>
      <c r="D26" s="14">
        <v>2</v>
      </c>
      <c r="E26" s="14">
        <v>0</v>
      </c>
      <c r="F26" s="10">
        <f t="shared" si="1"/>
        <v>2</v>
      </c>
      <c r="G26" s="14">
        <v>350</v>
      </c>
      <c r="H26" s="14">
        <v>8</v>
      </c>
      <c r="J26" s="4"/>
      <c r="K26" s="4"/>
    </row>
    <row r="27" spans="1:11" ht="13.5">
      <c r="A27" s="8">
        <v>7</v>
      </c>
      <c r="B27" s="28" t="s">
        <v>12</v>
      </c>
      <c r="C27" s="56" t="s">
        <v>26</v>
      </c>
      <c r="D27" s="14">
        <v>2</v>
      </c>
      <c r="E27" s="14">
        <v>0</v>
      </c>
      <c r="F27" s="10">
        <f t="shared" si="1"/>
        <v>2</v>
      </c>
      <c r="G27" s="14">
        <v>200</v>
      </c>
      <c r="H27" s="14">
        <v>8</v>
      </c>
      <c r="J27" s="4"/>
      <c r="K27" s="4"/>
    </row>
    <row r="28" spans="1:11" ht="13.5">
      <c r="A28" s="8">
        <v>8</v>
      </c>
      <c r="B28" s="28" t="s">
        <v>12</v>
      </c>
      <c r="C28" s="56" t="s">
        <v>27</v>
      </c>
      <c r="D28" s="14">
        <v>2</v>
      </c>
      <c r="E28" s="14">
        <v>2</v>
      </c>
      <c r="F28" s="10">
        <f t="shared" si="1"/>
        <v>0</v>
      </c>
      <c r="G28" s="14">
        <v>200</v>
      </c>
      <c r="H28" s="14">
        <v>8</v>
      </c>
      <c r="J28" s="4"/>
      <c r="K28" s="4"/>
    </row>
    <row r="29" spans="1:11" ht="13.5">
      <c r="A29" s="8">
        <v>9</v>
      </c>
      <c r="B29" s="28" t="s">
        <v>28</v>
      </c>
      <c r="C29" s="56" t="s">
        <v>29</v>
      </c>
      <c r="D29" s="14">
        <v>2</v>
      </c>
      <c r="E29" s="14">
        <v>1</v>
      </c>
      <c r="F29" s="10">
        <f t="shared" si="1"/>
        <v>1</v>
      </c>
      <c r="G29" s="14">
        <v>45</v>
      </c>
      <c r="H29" s="14">
        <v>6</v>
      </c>
      <c r="J29" s="9"/>
      <c r="K29" s="9"/>
    </row>
    <row r="30" spans="1:11" ht="13.5">
      <c r="A30" s="8">
        <v>10</v>
      </c>
      <c r="B30" s="28"/>
      <c r="C30" s="56"/>
      <c r="D30" s="14"/>
      <c r="E30" s="14"/>
      <c r="F30" s="10">
        <f t="shared" si="1"/>
      </c>
      <c r="G30" s="14"/>
      <c r="H30" s="14"/>
      <c r="J30" s="9"/>
      <c r="K30" s="9"/>
    </row>
    <row r="32" ht="13.5">
      <c r="A32" s="7" t="s">
        <v>37</v>
      </c>
    </row>
    <row r="33" spans="1:22" ht="13.5">
      <c r="A33" s="3"/>
      <c r="B33" s="11" t="s">
        <v>1</v>
      </c>
      <c r="C33" s="13"/>
      <c r="D33" s="13"/>
      <c r="E33" s="13"/>
      <c r="F33" s="13"/>
      <c r="G33" s="13"/>
      <c r="H33" s="12"/>
      <c r="I33" s="11" t="s">
        <v>39</v>
      </c>
      <c r="J33" s="13"/>
      <c r="K33" s="13"/>
      <c r="L33" s="13"/>
      <c r="M33" s="11" t="s">
        <v>40</v>
      </c>
      <c r="N33" s="13"/>
      <c r="O33" s="13"/>
      <c r="P33" s="12"/>
      <c r="U33"/>
      <c r="V33"/>
    </row>
    <row r="34" spans="1:22" ht="13.5">
      <c r="A34" s="3" t="s">
        <v>2</v>
      </c>
      <c r="B34" s="36" t="s">
        <v>2</v>
      </c>
      <c r="C34" s="36" t="s">
        <v>94</v>
      </c>
      <c r="D34" s="3" t="s">
        <v>3</v>
      </c>
      <c r="E34" s="21" t="s">
        <v>6</v>
      </c>
      <c r="F34" s="3" t="s">
        <v>36</v>
      </c>
      <c r="G34" s="3" t="s">
        <v>35</v>
      </c>
      <c r="H34" s="3" t="s">
        <v>7</v>
      </c>
      <c r="I34" s="36" t="s">
        <v>11</v>
      </c>
      <c r="J34" s="3" t="s">
        <v>3</v>
      </c>
      <c r="K34" s="3" t="s">
        <v>8</v>
      </c>
      <c r="L34" s="3" t="s">
        <v>10</v>
      </c>
      <c r="M34" s="36" t="s">
        <v>11</v>
      </c>
      <c r="N34" s="3" t="s">
        <v>3</v>
      </c>
      <c r="O34" s="3" t="s">
        <v>8</v>
      </c>
      <c r="P34" s="3" t="s">
        <v>10</v>
      </c>
      <c r="U34"/>
      <c r="V34"/>
    </row>
    <row r="35" spans="1:22" ht="13.5">
      <c r="A35" s="35">
        <v>1</v>
      </c>
      <c r="B35" s="37"/>
      <c r="C35" s="37"/>
      <c r="D35" s="55">
        <f aca="true" t="shared" si="2" ref="D35:D44">IF($B35="","",VLOOKUP($B35,$A$7:$K$16,3))</f>
      </c>
      <c r="E35" s="22">
        <f aca="true" t="shared" si="3" ref="E35:E44">IF($B35="","",VLOOKUP($B35,$A$7:$K$16,7))</f>
      </c>
      <c r="F35" s="5">
        <f aca="true" t="shared" si="4" ref="F35:F44">IF($B35="","",IF($I35="","-",INDEX($B$7:$K$16,$B35,IF($L35=8,7,IF($L35=4,8,"-")))))</f>
      </c>
      <c r="G35" s="5">
        <f aca="true" t="shared" si="5" ref="G35:G44">IF($B35="","",IF($M35="","-",INDEX($B$7:$K$16,$B35,IF($P35=8,7,IF($P35=4,8,"-")))))</f>
      </c>
      <c r="H35" s="35">
        <f aca="true" t="shared" si="6" ref="H35:H44">IF($B35="","",VLOOKUP($B35,$A$7:$K$16,11))</f>
      </c>
      <c r="I35" s="37"/>
      <c r="J35" s="55">
        <f aca="true" t="shared" si="7" ref="J35:J44">IF($I35="","",VLOOKUP($I35,$A$21:$H$30,3))</f>
      </c>
      <c r="K35" s="5">
        <f aca="true" t="shared" si="8" ref="K35:K44">IF($I35="","",VLOOKUP($I35,$A$21:$H$30,7))</f>
      </c>
      <c r="L35" s="5">
        <f aca="true" t="shared" si="9" ref="L35:L44">IF($I35="","",VLOOKUP($I35,$A$21:$H$30,8))</f>
      </c>
      <c r="M35" s="37"/>
      <c r="N35" s="55">
        <f aca="true" t="shared" si="10" ref="N35:N44">IF($M35="","",IF($H35&lt;2,"-",VLOOKUP($M35,$A$21:$H$30,3)))</f>
      </c>
      <c r="O35" s="5">
        <f aca="true" t="shared" si="11" ref="O35:O44">IF($M35="","",IF($H35&lt;2,"-",VLOOKUP($M35,$A$21:$H$30,7)))</f>
      </c>
      <c r="P35" s="5">
        <f aca="true" t="shared" si="12" ref="P35:P44">IF($M35="","",IF($H35&lt;2,"-",VLOOKUP($M35,$A$21:$H$30,8)))</f>
      </c>
      <c r="U35"/>
      <c r="V35"/>
    </row>
    <row r="36" spans="1:22" ht="13.5">
      <c r="A36" s="35">
        <v>2</v>
      </c>
      <c r="B36" s="38"/>
      <c r="C36" s="38"/>
      <c r="D36" s="55">
        <f t="shared" si="2"/>
      </c>
      <c r="E36" s="22">
        <f t="shared" si="3"/>
      </c>
      <c r="F36" s="5">
        <f t="shared" si="4"/>
      </c>
      <c r="G36" s="5">
        <f t="shared" si="5"/>
      </c>
      <c r="H36" s="35">
        <f t="shared" si="6"/>
      </c>
      <c r="I36" s="38"/>
      <c r="J36" s="55">
        <f t="shared" si="7"/>
      </c>
      <c r="K36" s="5">
        <f t="shared" si="8"/>
      </c>
      <c r="L36" s="5">
        <f t="shared" si="9"/>
      </c>
      <c r="M36" s="38"/>
      <c r="N36" s="55">
        <f t="shared" si="10"/>
      </c>
      <c r="O36" s="5">
        <f t="shared" si="11"/>
      </c>
      <c r="P36" s="5">
        <f t="shared" si="12"/>
      </c>
      <c r="U36"/>
      <c r="V36"/>
    </row>
    <row r="37" spans="1:22" ht="13.5">
      <c r="A37" s="35">
        <v>3</v>
      </c>
      <c r="B37" s="38"/>
      <c r="C37" s="38"/>
      <c r="D37" s="55">
        <f t="shared" si="2"/>
      </c>
      <c r="E37" s="22">
        <f t="shared" si="3"/>
      </c>
      <c r="F37" s="5">
        <f t="shared" si="4"/>
      </c>
      <c r="G37" s="5">
        <f t="shared" si="5"/>
      </c>
      <c r="H37" s="35">
        <f t="shared" si="6"/>
      </c>
      <c r="I37" s="38"/>
      <c r="J37" s="55">
        <f t="shared" si="7"/>
      </c>
      <c r="K37" s="5">
        <f t="shared" si="8"/>
      </c>
      <c r="L37" s="5">
        <f t="shared" si="9"/>
      </c>
      <c r="M37" s="38"/>
      <c r="N37" s="55">
        <f t="shared" si="10"/>
      </c>
      <c r="O37" s="5">
        <f t="shared" si="11"/>
      </c>
      <c r="P37" s="5">
        <f t="shared" si="12"/>
      </c>
      <c r="U37"/>
      <c r="V37"/>
    </row>
    <row r="38" spans="1:22" ht="13.5">
      <c r="A38" s="35">
        <v>4</v>
      </c>
      <c r="B38" s="38"/>
      <c r="C38" s="38"/>
      <c r="D38" s="55">
        <f t="shared" si="2"/>
      </c>
      <c r="E38" s="22">
        <f t="shared" si="3"/>
      </c>
      <c r="F38" s="5">
        <f t="shared" si="4"/>
      </c>
      <c r="G38" s="5">
        <f t="shared" si="5"/>
      </c>
      <c r="H38" s="35">
        <f t="shared" si="6"/>
      </c>
      <c r="I38" s="38"/>
      <c r="J38" s="55">
        <f t="shared" si="7"/>
      </c>
      <c r="K38" s="5">
        <f t="shared" si="8"/>
      </c>
      <c r="L38" s="5">
        <f t="shared" si="9"/>
      </c>
      <c r="M38" s="38"/>
      <c r="N38" s="55">
        <f t="shared" si="10"/>
      </c>
      <c r="O38" s="5">
        <f t="shared" si="11"/>
      </c>
      <c r="P38" s="5">
        <f t="shared" si="12"/>
      </c>
      <c r="U38"/>
      <c r="V38"/>
    </row>
    <row r="39" spans="1:22" ht="13.5">
      <c r="A39" s="35">
        <v>5</v>
      </c>
      <c r="B39" s="38"/>
      <c r="C39" s="38"/>
      <c r="D39" s="55">
        <f t="shared" si="2"/>
      </c>
      <c r="E39" s="22">
        <f t="shared" si="3"/>
      </c>
      <c r="F39" s="5">
        <f t="shared" si="4"/>
      </c>
      <c r="G39" s="5">
        <f t="shared" si="5"/>
      </c>
      <c r="H39" s="35">
        <f t="shared" si="6"/>
      </c>
      <c r="I39" s="38"/>
      <c r="J39" s="55">
        <f t="shared" si="7"/>
      </c>
      <c r="K39" s="5">
        <f t="shared" si="8"/>
      </c>
      <c r="L39" s="5">
        <f t="shared" si="9"/>
      </c>
      <c r="M39" s="38"/>
      <c r="N39" s="55">
        <f t="shared" si="10"/>
      </c>
      <c r="O39" s="5">
        <f t="shared" si="11"/>
      </c>
      <c r="P39" s="5">
        <f t="shared" si="12"/>
      </c>
      <c r="U39"/>
      <c r="V39"/>
    </row>
    <row r="40" spans="1:22" ht="13.5">
      <c r="A40" s="35">
        <v>6</v>
      </c>
      <c r="B40" s="38"/>
      <c r="C40" s="38"/>
      <c r="D40" s="55">
        <f t="shared" si="2"/>
      </c>
      <c r="E40" s="22">
        <f t="shared" si="3"/>
      </c>
      <c r="F40" s="5">
        <f t="shared" si="4"/>
      </c>
      <c r="G40" s="5">
        <f t="shared" si="5"/>
      </c>
      <c r="H40" s="35">
        <f t="shared" si="6"/>
      </c>
      <c r="I40" s="38"/>
      <c r="J40" s="55">
        <f t="shared" si="7"/>
      </c>
      <c r="K40" s="5">
        <f t="shared" si="8"/>
      </c>
      <c r="L40" s="5">
        <f t="shared" si="9"/>
      </c>
      <c r="M40" s="38"/>
      <c r="N40" s="55">
        <f t="shared" si="10"/>
      </c>
      <c r="O40" s="5">
        <f t="shared" si="11"/>
      </c>
      <c r="P40" s="5">
        <f t="shared" si="12"/>
      </c>
      <c r="U40"/>
      <c r="V40"/>
    </row>
    <row r="41" spans="1:22" ht="13.5">
      <c r="A41" s="35">
        <v>7</v>
      </c>
      <c r="B41" s="38"/>
      <c r="C41" s="38"/>
      <c r="D41" s="55">
        <f t="shared" si="2"/>
      </c>
      <c r="E41" s="22">
        <f t="shared" si="3"/>
      </c>
      <c r="F41" s="5">
        <f t="shared" si="4"/>
      </c>
      <c r="G41" s="5">
        <f t="shared" si="5"/>
      </c>
      <c r="H41" s="35">
        <f t="shared" si="6"/>
      </c>
      <c r="I41" s="38"/>
      <c r="J41" s="55">
        <f t="shared" si="7"/>
      </c>
      <c r="K41" s="5">
        <f t="shared" si="8"/>
      </c>
      <c r="L41" s="5">
        <f t="shared" si="9"/>
      </c>
      <c r="M41" s="38"/>
      <c r="N41" s="55">
        <f t="shared" si="10"/>
      </c>
      <c r="O41" s="5">
        <f t="shared" si="11"/>
      </c>
      <c r="P41" s="5">
        <f t="shared" si="12"/>
      </c>
      <c r="U41"/>
      <c r="V41"/>
    </row>
    <row r="42" spans="1:22" ht="13.5">
      <c r="A42" s="35">
        <v>8</v>
      </c>
      <c r="B42" s="38"/>
      <c r="C42" s="38"/>
      <c r="D42" s="55">
        <f t="shared" si="2"/>
      </c>
      <c r="E42" s="22">
        <f t="shared" si="3"/>
      </c>
      <c r="F42" s="5">
        <f t="shared" si="4"/>
      </c>
      <c r="G42" s="5">
        <f t="shared" si="5"/>
      </c>
      <c r="H42" s="35">
        <f t="shared" si="6"/>
      </c>
      <c r="I42" s="38"/>
      <c r="J42" s="55">
        <f t="shared" si="7"/>
      </c>
      <c r="K42" s="5">
        <f t="shared" si="8"/>
      </c>
      <c r="L42" s="5">
        <f t="shared" si="9"/>
      </c>
      <c r="M42" s="38"/>
      <c r="N42" s="55">
        <f t="shared" si="10"/>
      </c>
      <c r="O42" s="5">
        <f t="shared" si="11"/>
      </c>
      <c r="P42" s="5">
        <f t="shared" si="12"/>
      </c>
      <c r="U42"/>
      <c r="V42"/>
    </row>
    <row r="43" spans="1:22" ht="13.5">
      <c r="A43" s="35">
        <v>9</v>
      </c>
      <c r="B43" s="38"/>
      <c r="C43" s="38"/>
      <c r="D43" s="55">
        <f t="shared" si="2"/>
      </c>
      <c r="E43" s="22">
        <f t="shared" si="3"/>
      </c>
      <c r="F43" s="5">
        <f t="shared" si="4"/>
      </c>
      <c r="G43" s="5">
        <f t="shared" si="5"/>
      </c>
      <c r="H43" s="35">
        <f t="shared" si="6"/>
      </c>
      <c r="I43" s="38"/>
      <c r="J43" s="55">
        <f t="shared" si="7"/>
      </c>
      <c r="K43" s="5">
        <f t="shared" si="8"/>
      </c>
      <c r="L43" s="5">
        <f t="shared" si="9"/>
      </c>
      <c r="M43" s="38"/>
      <c r="N43" s="55">
        <f t="shared" si="10"/>
      </c>
      <c r="O43" s="5">
        <f t="shared" si="11"/>
      </c>
      <c r="P43" s="5">
        <f t="shared" si="12"/>
      </c>
      <c r="U43"/>
      <c r="V43"/>
    </row>
    <row r="44" spans="1:22" ht="13.5">
      <c r="A44" s="35">
        <v>10</v>
      </c>
      <c r="B44" s="39"/>
      <c r="C44" s="39"/>
      <c r="D44" s="55">
        <f t="shared" si="2"/>
      </c>
      <c r="E44" s="22">
        <f t="shared" si="3"/>
      </c>
      <c r="F44" s="5">
        <f t="shared" si="4"/>
      </c>
      <c r="G44" s="5">
        <f t="shared" si="5"/>
      </c>
      <c r="H44" s="35">
        <f t="shared" si="6"/>
      </c>
      <c r="I44" s="39"/>
      <c r="J44" s="55">
        <f t="shared" si="7"/>
      </c>
      <c r="K44" s="5">
        <f t="shared" si="8"/>
      </c>
      <c r="L44" s="5">
        <f t="shared" si="9"/>
      </c>
      <c r="M44" s="39"/>
      <c r="N44" s="55">
        <f t="shared" si="10"/>
      </c>
      <c r="O44" s="5">
        <f t="shared" si="11"/>
      </c>
      <c r="P44" s="5">
        <f t="shared" si="12"/>
      </c>
      <c r="U44"/>
      <c r="V44"/>
    </row>
    <row r="46" ht="13.5">
      <c r="A46" s="7" t="s">
        <v>34</v>
      </c>
    </row>
    <row r="47" spans="1:5" ht="13.5">
      <c r="A47" s="3"/>
      <c r="B47" s="21" t="s">
        <v>6</v>
      </c>
      <c r="C47" s="3" t="s">
        <v>1</v>
      </c>
      <c r="D47" s="3" t="s">
        <v>81</v>
      </c>
      <c r="E47" s="3" t="s">
        <v>9</v>
      </c>
    </row>
    <row r="48" spans="1:5" ht="13.5">
      <c r="A48" s="17"/>
      <c r="B48" s="23">
        <f>SUM($E$35:$E$44)</f>
        <v>0</v>
      </c>
      <c r="C48" s="17">
        <f>COUNTA($B$35:$B$44)</f>
        <v>0</v>
      </c>
      <c r="D48" s="17">
        <f>SUM($H$35:$H$44)</f>
        <v>0</v>
      </c>
      <c r="E48" s="18">
        <f>COUNTA($I$35:$I$44,$M$35:$M$44)</f>
        <v>0</v>
      </c>
    </row>
    <row r="54" ht="15">
      <c r="A54" s="6" t="s">
        <v>41</v>
      </c>
    </row>
    <row r="55" ht="13.5">
      <c r="A55" s="7" t="s">
        <v>4</v>
      </c>
    </row>
    <row r="56" spans="1:11" ht="13.5">
      <c r="A56" s="3" t="s">
        <v>2</v>
      </c>
      <c r="B56" s="16" t="s">
        <v>30</v>
      </c>
      <c r="C56" s="16" t="s">
        <v>3</v>
      </c>
      <c r="D56" s="16" t="s">
        <v>4</v>
      </c>
      <c r="E56" s="16" t="s">
        <v>38</v>
      </c>
      <c r="F56" s="3" t="s">
        <v>5</v>
      </c>
      <c r="G56" s="16" t="s">
        <v>6</v>
      </c>
      <c r="H56" s="16" t="s">
        <v>44</v>
      </c>
      <c r="I56" s="16" t="s">
        <v>46</v>
      </c>
      <c r="J56" s="16" t="s">
        <v>45</v>
      </c>
      <c r="K56" s="16" t="s">
        <v>48</v>
      </c>
    </row>
    <row r="57" spans="1:11" ht="13.5">
      <c r="A57" s="8">
        <v>1</v>
      </c>
      <c r="B57" s="28" t="s">
        <v>12</v>
      </c>
      <c r="C57" s="56" t="s">
        <v>47</v>
      </c>
      <c r="D57" s="14">
        <v>1</v>
      </c>
      <c r="E57" s="14">
        <v>0</v>
      </c>
      <c r="F57" s="10">
        <f>IF($D57="","",$D57-$E57-COUNTIF($B$90:$B$92,$A57))</f>
        <v>1</v>
      </c>
      <c r="G57" s="15">
        <v>110</v>
      </c>
      <c r="H57" s="14">
        <v>32</v>
      </c>
      <c r="I57" s="14" t="s">
        <v>51</v>
      </c>
      <c r="J57" s="31" t="s">
        <v>52</v>
      </c>
      <c r="K57" s="14" t="s">
        <v>49</v>
      </c>
    </row>
    <row r="58" spans="1:11" ht="13.5">
      <c r="A58" s="8">
        <v>2</v>
      </c>
      <c r="B58" s="28" t="s">
        <v>12</v>
      </c>
      <c r="C58" s="56" t="s">
        <v>50</v>
      </c>
      <c r="D58" s="14">
        <v>1</v>
      </c>
      <c r="E58" s="14">
        <v>0</v>
      </c>
      <c r="F58" s="10">
        <f>IF($D58="","",$D58-$E58-COUNTIF($B$90:$B$92,$A58))</f>
        <v>1</v>
      </c>
      <c r="G58" s="15">
        <v>70</v>
      </c>
      <c r="H58" s="14">
        <v>16</v>
      </c>
      <c r="I58" s="14">
        <v>4</v>
      </c>
      <c r="J58" s="14">
        <v>4</v>
      </c>
      <c r="K58" s="14" t="s">
        <v>49</v>
      </c>
    </row>
    <row r="59" spans="1:11" ht="13.5">
      <c r="A59" s="8">
        <v>3</v>
      </c>
      <c r="B59" s="28" t="s">
        <v>12</v>
      </c>
      <c r="C59" s="56" t="s">
        <v>53</v>
      </c>
      <c r="D59" s="14">
        <v>1</v>
      </c>
      <c r="E59" s="14">
        <v>0</v>
      </c>
      <c r="F59" s="10">
        <f>IF($D59="","",$D59-$E59-COUNTIF($B$90:$B$92,$A59))</f>
        <v>1</v>
      </c>
      <c r="G59" s="15">
        <v>51</v>
      </c>
      <c r="H59" s="14">
        <v>16</v>
      </c>
      <c r="I59" s="14">
        <v>4</v>
      </c>
      <c r="J59" s="14">
        <v>3</v>
      </c>
      <c r="K59" s="14" t="s">
        <v>54</v>
      </c>
    </row>
    <row r="60" spans="1:11" ht="13.5">
      <c r="A60" s="8">
        <v>4</v>
      </c>
      <c r="B60" s="28"/>
      <c r="C60" s="56"/>
      <c r="D60" s="14"/>
      <c r="E60" s="14"/>
      <c r="F60" s="10">
        <f>IF($D60="","",$D60-$E60-COUNTIF($B$90:$B$92,$A60))</f>
      </c>
      <c r="G60" s="15"/>
      <c r="H60" s="14"/>
      <c r="I60" s="14"/>
      <c r="J60" s="14"/>
      <c r="K60" s="14"/>
    </row>
    <row r="61" spans="1:11" ht="13.5">
      <c r="A61" s="8">
        <v>5</v>
      </c>
      <c r="B61" s="28"/>
      <c r="C61" s="56"/>
      <c r="D61" s="14"/>
      <c r="E61" s="14"/>
      <c r="F61" s="10">
        <f>IF($D61="","",$D61-$E61-COUNTIF($B$90:$B$92,$A61))</f>
      </c>
      <c r="G61" s="15"/>
      <c r="H61" s="14"/>
      <c r="I61" s="14"/>
      <c r="J61" s="14"/>
      <c r="K61" s="14"/>
    </row>
    <row r="63" ht="15">
      <c r="A63" s="6" t="s">
        <v>42</v>
      </c>
    </row>
    <row r="64" ht="13.5">
      <c r="A64" s="7" t="s">
        <v>4</v>
      </c>
    </row>
    <row r="65" spans="1:9" ht="13.5">
      <c r="A65" s="3" t="s">
        <v>2</v>
      </c>
      <c r="B65" s="16" t="s">
        <v>30</v>
      </c>
      <c r="C65" s="16" t="s">
        <v>3</v>
      </c>
      <c r="D65" s="16" t="s">
        <v>4</v>
      </c>
      <c r="E65" s="16" t="s">
        <v>38</v>
      </c>
      <c r="F65" s="3" t="s">
        <v>5</v>
      </c>
      <c r="G65" s="16" t="s">
        <v>90</v>
      </c>
      <c r="H65" s="16" t="s">
        <v>43</v>
      </c>
      <c r="I65" s="16" t="s">
        <v>7</v>
      </c>
    </row>
    <row r="66" spans="1:9" ht="13.5">
      <c r="A66" s="8">
        <v>1</v>
      </c>
      <c r="B66" s="28" t="s">
        <v>55</v>
      </c>
      <c r="C66" s="56">
        <v>2231</v>
      </c>
      <c r="D66" s="14">
        <v>5</v>
      </c>
      <c r="E66" s="14">
        <v>0</v>
      </c>
      <c r="F66" s="10">
        <f aca="true" t="shared" si="13" ref="F66:F85">IF($D66="","",$D66-$E66-COUNTIF($B$96:$B$115,$A66))</f>
        <v>5</v>
      </c>
      <c r="G66" s="15">
        <v>28</v>
      </c>
      <c r="H66" s="14" t="s">
        <v>56</v>
      </c>
      <c r="I66" s="14">
        <v>2</v>
      </c>
    </row>
    <row r="67" spans="1:9" ht="13.5">
      <c r="A67" s="8">
        <v>2</v>
      </c>
      <c r="B67" s="28" t="s">
        <v>55</v>
      </c>
      <c r="C67" s="56">
        <v>1231</v>
      </c>
      <c r="D67" s="14">
        <v>1</v>
      </c>
      <c r="E67" s="14">
        <v>0</v>
      </c>
      <c r="F67" s="10">
        <f t="shared" si="13"/>
        <v>1</v>
      </c>
      <c r="G67" s="15">
        <v>24</v>
      </c>
      <c r="H67" s="14" t="s">
        <v>57</v>
      </c>
      <c r="I67" s="14">
        <v>2</v>
      </c>
    </row>
    <row r="68" spans="1:9" ht="13.5">
      <c r="A68" s="8">
        <v>3</v>
      </c>
      <c r="B68" s="28" t="s">
        <v>55</v>
      </c>
      <c r="C68" s="56" t="s">
        <v>60</v>
      </c>
      <c r="D68" s="14">
        <v>2</v>
      </c>
      <c r="E68" s="14">
        <v>0</v>
      </c>
      <c r="F68" s="10">
        <f t="shared" si="13"/>
        <v>2</v>
      </c>
      <c r="G68" s="15">
        <v>15</v>
      </c>
      <c r="H68" s="14" t="s">
        <v>59</v>
      </c>
      <c r="I68" s="14">
        <v>2</v>
      </c>
    </row>
    <row r="69" spans="1:9" ht="13.5">
      <c r="A69" s="8">
        <v>4</v>
      </c>
      <c r="B69" s="28" t="s">
        <v>55</v>
      </c>
      <c r="C69" s="56" t="s">
        <v>58</v>
      </c>
      <c r="D69" s="14">
        <v>1</v>
      </c>
      <c r="E69" s="14">
        <v>0</v>
      </c>
      <c r="F69" s="10">
        <f t="shared" si="13"/>
        <v>1</v>
      </c>
      <c r="G69" s="15">
        <v>15</v>
      </c>
      <c r="H69" s="14" t="s">
        <v>59</v>
      </c>
      <c r="I69" s="14">
        <v>1</v>
      </c>
    </row>
    <row r="70" spans="1:9" ht="13.5">
      <c r="A70" s="8">
        <v>5</v>
      </c>
      <c r="B70" s="28" t="s">
        <v>12</v>
      </c>
      <c r="C70" s="56" t="s">
        <v>61</v>
      </c>
      <c r="D70" s="14">
        <v>1</v>
      </c>
      <c r="E70" s="14">
        <v>0</v>
      </c>
      <c r="F70" s="10">
        <f t="shared" si="13"/>
        <v>1</v>
      </c>
      <c r="G70" s="15">
        <v>25</v>
      </c>
      <c r="H70" s="14" t="s">
        <v>62</v>
      </c>
      <c r="I70" s="14" t="s">
        <v>63</v>
      </c>
    </row>
    <row r="71" spans="1:9" ht="13.5">
      <c r="A71" s="8">
        <v>6</v>
      </c>
      <c r="B71" s="28" t="s">
        <v>12</v>
      </c>
      <c r="C71" s="56" t="s">
        <v>64</v>
      </c>
      <c r="D71" s="14">
        <v>1</v>
      </c>
      <c r="E71" s="14">
        <v>0</v>
      </c>
      <c r="F71" s="10">
        <f t="shared" si="13"/>
        <v>1</v>
      </c>
      <c r="G71" s="15">
        <v>16</v>
      </c>
      <c r="H71" s="14" t="s">
        <v>62</v>
      </c>
      <c r="I71" s="14" t="s">
        <v>63</v>
      </c>
    </row>
    <row r="72" spans="1:9" ht="13.5">
      <c r="A72" s="8">
        <v>7</v>
      </c>
      <c r="B72" s="28" t="s">
        <v>12</v>
      </c>
      <c r="C72" s="56" t="s">
        <v>65</v>
      </c>
      <c r="D72" s="14">
        <v>2</v>
      </c>
      <c r="E72" s="14">
        <v>0</v>
      </c>
      <c r="F72" s="10">
        <f t="shared" si="13"/>
        <v>2</v>
      </c>
      <c r="G72" s="15">
        <v>12.5</v>
      </c>
      <c r="H72" s="14" t="s">
        <v>62</v>
      </c>
      <c r="I72" s="14" t="s">
        <v>66</v>
      </c>
    </row>
    <row r="73" spans="1:9" ht="13.5">
      <c r="A73" s="8">
        <v>8</v>
      </c>
      <c r="B73" s="28" t="s">
        <v>73</v>
      </c>
      <c r="C73" s="56" t="s">
        <v>74</v>
      </c>
      <c r="D73" s="14">
        <v>2</v>
      </c>
      <c r="E73" s="14">
        <v>0</v>
      </c>
      <c r="F73" s="10">
        <f t="shared" si="13"/>
        <v>2</v>
      </c>
      <c r="G73" s="15">
        <v>16</v>
      </c>
      <c r="H73" s="14" t="s">
        <v>78</v>
      </c>
      <c r="I73" s="14" t="s">
        <v>75</v>
      </c>
    </row>
    <row r="74" spans="1:9" ht="13.5">
      <c r="A74" s="8">
        <v>9</v>
      </c>
      <c r="B74" s="28" t="s">
        <v>67</v>
      </c>
      <c r="C74" s="56" t="s">
        <v>68</v>
      </c>
      <c r="D74" s="14">
        <v>1</v>
      </c>
      <c r="E74" s="14">
        <v>0</v>
      </c>
      <c r="F74" s="10">
        <f t="shared" si="13"/>
        <v>1</v>
      </c>
      <c r="G74" s="15">
        <v>17</v>
      </c>
      <c r="H74" s="14" t="s">
        <v>70</v>
      </c>
      <c r="I74" s="14" t="s">
        <v>69</v>
      </c>
    </row>
    <row r="75" spans="1:9" ht="13.5">
      <c r="A75" s="8">
        <v>10</v>
      </c>
      <c r="B75" s="28" t="s">
        <v>67</v>
      </c>
      <c r="C75" s="56" t="s">
        <v>71</v>
      </c>
      <c r="D75" s="14">
        <v>1</v>
      </c>
      <c r="E75" s="14">
        <v>0</v>
      </c>
      <c r="F75" s="10">
        <f t="shared" si="13"/>
        <v>1</v>
      </c>
      <c r="G75" s="15">
        <v>20</v>
      </c>
      <c r="H75" s="14" t="s">
        <v>70</v>
      </c>
      <c r="I75" s="14" t="s">
        <v>72</v>
      </c>
    </row>
    <row r="76" spans="1:9" ht="13.5">
      <c r="A76" s="8">
        <v>11</v>
      </c>
      <c r="B76" s="28"/>
      <c r="C76" s="56"/>
      <c r="D76" s="14"/>
      <c r="E76" s="14"/>
      <c r="F76" s="10">
        <f t="shared" si="13"/>
      </c>
      <c r="G76" s="15"/>
      <c r="H76" s="14"/>
      <c r="I76" s="14"/>
    </row>
    <row r="77" spans="1:9" ht="13.5">
      <c r="A77" s="8">
        <v>12</v>
      </c>
      <c r="B77" s="29"/>
      <c r="C77" s="57"/>
      <c r="D77" s="30"/>
      <c r="E77" s="30"/>
      <c r="F77" s="10">
        <f t="shared" si="13"/>
      </c>
      <c r="G77" s="15"/>
      <c r="H77" s="30"/>
      <c r="I77" s="30"/>
    </row>
    <row r="78" spans="1:9" ht="13.5">
      <c r="A78" s="8">
        <v>13</v>
      </c>
      <c r="B78" s="29"/>
      <c r="C78" s="57"/>
      <c r="D78" s="30"/>
      <c r="E78" s="30"/>
      <c r="F78" s="10">
        <f t="shared" si="13"/>
      </c>
      <c r="G78" s="15"/>
      <c r="H78" s="30"/>
      <c r="I78" s="30"/>
    </row>
    <row r="79" spans="1:9" ht="13.5">
      <c r="A79" s="8">
        <v>14</v>
      </c>
      <c r="B79" s="28"/>
      <c r="C79" s="56"/>
      <c r="D79" s="14"/>
      <c r="E79" s="14"/>
      <c r="F79" s="10">
        <f t="shared" si="13"/>
      </c>
      <c r="G79" s="15"/>
      <c r="H79" s="14"/>
      <c r="I79" s="14"/>
    </row>
    <row r="80" spans="1:9" ht="13.5">
      <c r="A80" s="8">
        <v>15</v>
      </c>
      <c r="B80" s="28"/>
      <c r="C80" s="56"/>
      <c r="D80" s="14"/>
      <c r="E80" s="14"/>
      <c r="F80" s="10">
        <f t="shared" si="13"/>
      </c>
      <c r="G80" s="15"/>
      <c r="H80" s="14"/>
      <c r="I80" s="14"/>
    </row>
    <row r="81" spans="1:9" ht="13.5">
      <c r="A81" s="8">
        <v>16</v>
      </c>
      <c r="B81" s="28"/>
      <c r="C81" s="56"/>
      <c r="D81" s="14"/>
      <c r="E81" s="14"/>
      <c r="F81" s="10">
        <f t="shared" si="13"/>
      </c>
      <c r="G81" s="15"/>
      <c r="H81" s="14"/>
      <c r="I81" s="14"/>
    </row>
    <row r="82" spans="1:9" ht="13.5">
      <c r="A82" s="8">
        <v>17</v>
      </c>
      <c r="B82" s="28"/>
      <c r="C82" s="56"/>
      <c r="D82" s="14"/>
      <c r="E82" s="14"/>
      <c r="F82" s="10">
        <f t="shared" si="13"/>
      </c>
      <c r="G82" s="15"/>
      <c r="H82" s="14"/>
      <c r="I82" s="14"/>
    </row>
    <row r="83" spans="1:9" ht="13.5">
      <c r="A83" s="8">
        <v>18</v>
      </c>
      <c r="B83" s="28"/>
      <c r="C83" s="56"/>
      <c r="D83" s="14"/>
      <c r="E83" s="14"/>
      <c r="F83" s="10">
        <f t="shared" si="13"/>
      </c>
      <c r="G83" s="15"/>
      <c r="H83" s="14"/>
      <c r="I83" s="14"/>
    </row>
    <row r="84" spans="1:9" ht="13.5">
      <c r="A84" s="8">
        <v>19</v>
      </c>
      <c r="B84" s="28"/>
      <c r="C84" s="56"/>
      <c r="D84" s="14"/>
      <c r="E84" s="14"/>
      <c r="F84" s="10">
        <f t="shared" si="13"/>
      </c>
      <c r="G84" s="15"/>
      <c r="H84" s="14"/>
      <c r="I84" s="14"/>
    </row>
    <row r="85" spans="1:9" ht="13.5">
      <c r="A85" s="8">
        <v>20</v>
      </c>
      <c r="B85" s="28"/>
      <c r="C85" s="56"/>
      <c r="D85" s="14"/>
      <c r="E85" s="14"/>
      <c r="F85" s="10">
        <f t="shared" si="13"/>
      </c>
      <c r="G85" s="15"/>
      <c r="H85" s="14"/>
      <c r="I85" s="14"/>
    </row>
    <row r="87" ht="13.5">
      <c r="A87" s="7" t="s">
        <v>37</v>
      </c>
    </row>
    <row r="88" spans="1:9" ht="13.5">
      <c r="A88" s="3"/>
      <c r="B88" s="11" t="s">
        <v>41</v>
      </c>
      <c r="C88" s="13"/>
      <c r="D88" s="13"/>
      <c r="E88" s="13"/>
      <c r="F88" s="13"/>
      <c r="G88" s="13"/>
      <c r="H88" s="13"/>
      <c r="I88" s="12"/>
    </row>
    <row r="89" spans="1:9" ht="13.5">
      <c r="A89" s="3" t="s">
        <v>2</v>
      </c>
      <c r="B89" s="36" t="s">
        <v>2</v>
      </c>
      <c r="C89" s="36" t="s">
        <v>94</v>
      </c>
      <c r="D89" s="3" t="s">
        <v>3</v>
      </c>
      <c r="E89" s="21" t="s">
        <v>6</v>
      </c>
      <c r="F89" s="3" t="s">
        <v>44</v>
      </c>
      <c r="G89" s="3" t="s">
        <v>46</v>
      </c>
      <c r="H89" s="3" t="s">
        <v>45</v>
      </c>
      <c r="I89" s="3" t="s">
        <v>48</v>
      </c>
    </row>
    <row r="90" spans="1:9" ht="13.5">
      <c r="A90" s="35">
        <v>1</v>
      </c>
      <c r="B90" s="37"/>
      <c r="C90" s="37"/>
      <c r="D90" s="55">
        <f>IF($B90="","",VLOOKUP($B90,$A$57:$K$61,3))</f>
      </c>
      <c r="E90" s="22">
        <f>IF($B90="","",VLOOKUP($B90,$A$57:$K$61,7))</f>
      </c>
      <c r="F90" s="5">
        <f>IF($B90="","",VLOOKUP($B90,$A$57:$K$61,8))</f>
      </c>
      <c r="G90" s="5">
        <f>IF($B90="","",VLOOKUP($B90,$A$57:$K$61,9))</f>
      </c>
      <c r="H90" s="5">
        <f>IF($B90="","",VLOOKUP($B90,$A$57:$K$61,10))</f>
      </c>
      <c r="I90" s="5">
        <f>IF($B90="","",VLOOKUP($B90,$A$57:$K$61,11))</f>
      </c>
    </row>
    <row r="91" spans="1:9" ht="13.5">
      <c r="A91" s="35">
        <v>2</v>
      </c>
      <c r="B91" s="38"/>
      <c r="C91" s="38"/>
      <c r="D91" s="55">
        <f>IF($B91="","",VLOOKUP($B91,$A$57:$K$61,3))</f>
      </c>
      <c r="E91" s="22">
        <f>IF($B91="","",VLOOKUP($B91,$A$57:$K$61,7))</f>
      </c>
      <c r="F91" s="5">
        <f>IF($B91="","",VLOOKUP($B91,$A$57:$K$61,8))</f>
      </c>
      <c r="G91" s="5">
        <f>IF($B91="","",VLOOKUP($B91,$A$57:$K$61,9))</f>
      </c>
      <c r="H91" s="5">
        <f>IF($B91="","",VLOOKUP($B91,$A$57:$K$61,10))</f>
      </c>
      <c r="I91" s="5">
        <f>IF($B91="","",VLOOKUP($B91,$A$57:$K$61,11))</f>
      </c>
    </row>
    <row r="92" spans="1:9" ht="13.5">
      <c r="A92" s="35">
        <v>3</v>
      </c>
      <c r="B92" s="39"/>
      <c r="C92" s="39"/>
      <c r="D92" s="55">
        <f>IF($B92="","",VLOOKUP($B92,$A$57:$K$61,3))</f>
      </c>
      <c r="E92" s="22">
        <f>IF($B92="","",VLOOKUP($B92,$A$57:$K$61,7))</f>
      </c>
      <c r="F92" s="5">
        <f>IF($B92="","",VLOOKUP($B92,$A$57:$K$61,8))</f>
      </c>
      <c r="G92" s="5">
        <f>IF($B92="","",VLOOKUP($B92,$A$57:$K$61,9))</f>
      </c>
      <c r="H92" s="5">
        <f>IF($B92="","",VLOOKUP($B92,$A$57:$K$61,10))</f>
      </c>
      <c r="I92" s="5">
        <f>IF($B92="","",VLOOKUP($B92,$A$57:$K$61,11))</f>
      </c>
    </row>
    <row r="93" spans="1:17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3.5">
      <c r="A94" s="3"/>
      <c r="B94" s="11" t="s">
        <v>42</v>
      </c>
      <c r="C94" s="13"/>
      <c r="D94" s="13"/>
      <c r="E94" s="13"/>
      <c r="F94" s="13"/>
      <c r="G94" s="13"/>
      <c r="H94"/>
      <c r="I94"/>
      <c r="J94"/>
      <c r="K94"/>
      <c r="L94"/>
      <c r="M94"/>
      <c r="N94"/>
      <c r="O94"/>
      <c r="P94"/>
      <c r="Q94"/>
    </row>
    <row r="95" spans="1:17" ht="13.5">
      <c r="A95" s="3" t="s">
        <v>2</v>
      </c>
      <c r="B95" s="36" t="s">
        <v>2</v>
      </c>
      <c r="C95" s="36" t="s">
        <v>94</v>
      </c>
      <c r="D95" s="3" t="s">
        <v>3</v>
      </c>
      <c r="E95" s="21" t="s">
        <v>6</v>
      </c>
      <c r="F95" s="3" t="s">
        <v>43</v>
      </c>
      <c r="G95" s="3" t="s">
        <v>7</v>
      </c>
      <c r="H95"/>
      <c r="I95"/>
      <c r="J95"/>
      <c r="K95"/>
      <c r="L95"/>
      <c r="M95"/>
      <c r="N95"/>
      <c r="O95"/>
      <c r="P95"/>
      <c r="Q95"/>
    </row>
    <row r="96" spans="1:17" ht="13.5">
      <c r="A96" s="35">
        <v>1</v>
      </c>
      <c r="B96" s="37"/>
      <c r="C96" s="37"/>
      <c r="D96" s="55">
        <f aca="true" t="shared" si="14" ref="D96:D115">IF($B96="","",VLOOKUP($B96,$A$66:$I$85,3))</f>
      </c>
      <c r="E96" s="22">
        <f aca="true" t="shared" si="15" ref="E96:E115">IF($B96="","",VLOOKUP($B96,$A$66:$I$85,7))</f>
      </c>
      <c r="F96" s="5">
        <f aca="true" t="shared" si="16" ref="F96:F115">IF($B96="","",VLOOKUP($B96,$A$66:$I$85,8))</f>
      </c>
      <c r="G96" s="5">
        <f aca="true" t="shared" si="17" ref="G96:G115">IF($B96="","",VLOOKUP($B96,$A$66:$I$85,9))</f>
      </c>
      <c r="H96"/>
      <c r="I96"/>
      <c r="J96"/>
      <c r="K96"/>
      <c r="L96"/>
      <c r="M96"/>
      <c r="N96"/>
      <c r="O96"/>
      <c r="P96"/>
      <c r="Q96"/>
    </row>
    <row r="97" spans="1:7" ht="13.5">
      <c r="A97" s="35">
        <v>2</v>
      </c>
      <c r="B97" s="38"/>
      <c r="C97" s="38"/>
      <c r="D97" s="55">
        <f t="shared" si="14"/>
      </c>
      <c r="E97" s="22">
        <f t="shared" si="15"/>
      </c>
      <c r="F97" s="5">
        <f t="shared" si="16"/>
      </c>
      <c r="G97" s="5">
        <f t="shared" si="17"/>
      </c>
    </row>
    <row r="98" spans="1:7" ht="13.5">
      <c r="A98" s="35">
        <v>3</v>
      </c>
      <c r="B98" s="38"/>
      <c r="C98" s="38"/>
      <c r="D98" s="55">
        <f t="shared" si="14"/>
      </c>
      <c r="E98" s="22">
        <f t="shared" si="15"/>
      </c>
      <c r="F98" s="5">
        <f t="shared" si="16"/>
      </c>
      <c r="G98" s="5">
        <f t="shared" si="17"/>
      </c>
    </row>
    <row r="99" spans="1:7" ht="13.5">
      <c r="A99" s="35">
        <v>4</v>
      </c>
      <c r="B99" s="38"/>
      <c r="C99" s="38"/>
      <c r="D99" s="55">
        <f t="shared" si="14"/>
      </c>
      <c r="E99" s="22">
        <f t="shared" si="15"/>
      </c>
      <c r="F99" s="5">
        <f t="shared" si="16"/>
      </c>
      <c r="G99" s="5">
        <f t="shared" si="17"/>
      </c>
    </row>
    <row r="100" spans="1:7" ht="13.5">
      <c r="A100" s="35">
        <v>5</v>
      </c>
      <c r="B100" s="38"/>
      <c r="C100" s="38"/>
      <c r="D100" s="55">
        <f t="shared" si="14"/>
      </c>
      <c r="E100" s="22">
        <f t="shared" si="15"/>
      </c>
      <c r="F100" s="5">
        <f t="shared" si="16"/>
      </c>
      <c r="G100" s="5">
        <f t="shared" si="17"/>
      </c>
    </row>
    <row r="101" spans="1:7" ht="13.5">
      <c r="A101" s="35">
        <v>6</v>
      </c>
      <c r="B101" s="38"/>
      <c r="C101" s="38"/>
      <c r="D101" s="55">
        <f t="shared" si="14"/>
      </c>
      <c r="E101" s="22">
        <f t="shared" si="15"/>
      </c>
      <c r="F101" s="5">
        <f t="shared" si="16"/>
      </c>
      <c r="G101" s="5">
        <f t="shared" si="17"/>
      </c>
    </row>
    <row r="102" spans="1:7" ht="13.5">
      <c r="A102" s="35">
        <v>7</v>
      </c>
      <c r="B102" s="38"/>
      <c r="C102" s="38"/>
      <c r="D102" s="55">
        <f t="shared" si="14"/>
      </c>
      <c r="E102" s="22">
        <f t="shared" si="15"/>
      </c>
      <c r="F102" s="5">
        <f t="shared" si="16"/>
      </c>
      <c r="G102" s="5">
        <f t="shared" si="17"/>
      </c>
    </row>
    <row r="103" spans="1:7" ht="13.5">
      <c r="A103" s="35">
        <v>8</v>
      </c>
      <c r="B103" s="38"/>
      <c r="C103" s="38"/>
      <c r="D103" s="55">
        <f t="shared" si="14"/>
      </c>
      <c r="E103" s="22">
        <f t="shared" si="15"/>
      </c>
      <c r="F103" s="5">
        <f t="shared" si="16"/>
      </c>
      <c r="G103" s="5">
        <f t="shared" si="17"/>
      </c>
    </row>
    <row r="104" spans="1:7" ht="13.5">
      <c r="A104" s="35">
        <v>9</v>
      </c>
      <c r="B104" s="38"/>
      <c r="C104" s="38"/>
      <c r="D104" s="55">
        <f t="shared" si="14"/>
      </c>
      <c r="E104" s="22">
        <f t="shared" si="15"/>
      </c>
      <c r="F104" s="5">
        <f t="shared" si="16"/>
      </c>
      <c r="G104" s="5">
        <f t="shared" si="17"/>
      </c>
    </row>
    <row r="105" spans="1:7" ht="13.5">
      <c r="A105" s="35">
        <v>10</v>
      </c>
      <c r="B105" s="38"/>
      <c r="C105" s="38"/>
      <c r="D105" s="55">
        <f t="shared" si="14"/>
      </c>
      <c r="E105" s="22">
        <f t="shared" si="15"/>
      </c>
      <c r="F105" s="5">
        <f t="shared" si="16"/>
      </c>
      <c r="G105" s="5">
        <f t="shared" si="17"/>
      </c>
    </row>
    <row r="106" spans="1:7" ht="13.5">
      <c r="A106" s="35">
        <v>11</v>
      </c>
      <c r="B106" s="38"/>
      <c r="C106" s="38"/>
      <c r="D106" s="55">
        <f t="shared" si="14"/>
      </c>
      <c r="E106" s="22">
        <f t="shared" si="15"/>
      </c>
      <c r="F106" s="5">
        <f t="shared" si="16"/>
      </c>
      <c r="G106" s="5">
        <f t="shared" si="17"/>
      </c>
    </row>
    <row r="107" spans="1:7" ht="13.5">
      <c r="A107" s="35">
        <v>12</v>
      </c>
      <c r="B107" s="38"/>
      <c r="C107" s="38"/>
      <c r="D107" s="55">
        <f t="shared" si="14"/>
      </c>
      <c r="E107" s="22">
        <f t="shared" si="15"/>
      </c>
      <c r="F107" s="5">
        <f t="shared" si="16"/>
      </c>
      <c r="G107" s="5">
        <f t="shared" si="17"/>
      </c>
    </row>
    <row r="108" spans="1:7" ht="13.5">
      <c r="A108" s="35">
        <v>13</v>
      </c>
      <c r="B108" s="38"/>
      <c r="C108" s="38"/>
      <c r="D108" s="55">
        <f t="shared" si="14"/>
      </c>
      <c r="E108" s="22">
        <f t="shared" si="15"/>
      </c>
      <c r="F108" s="5">
        <f t="shared" si="16"/>
      </c>
      <c r="G108" s="5">
        <f t="shared" si="17"/>
      </c>
    </row>
    <row r="109" spans="1:7" ht="13.5">
      <c r="A109" s="35">
        <v>14</v>
      </c>
      <c r="B109" s="38"/>
      <c r="C109" s="38"/>
      <c r="D109" s="55">
        <f t="shared" si="14"/>
      </c>
      <c r="E109" s="22">
        <f t="shared" si="15"/>
      </c>
      <c r="F109" s="5">
        <f t="shared" si="16"/>
      </c>
      <c r="G109" s="5">
        <f t="shared" si="17"/>
      </c>
    </row>
    <row r="110" spans="1:7" ht="13.5">
      <c r="A110" s="35">
        <v>15</v>
      </c>
      <c r="B110" s="38"/>
      <c r="C110" s="38"/>
      <c r="D110" s="55">
        <f t="shared" si="14"/>
      </c>
      <c r="E110" s="22">
        <f t="shared" si="15"/>
      </c>
      <c r="F110" s="5">
        <f t="shared" si="16"/>
      </c>
      <c r="G110" s="5">
        <f t="shared" si="17"/>
      </c>
    </row>
    <row r="111" spans="1:7" ht="13.5">
      <c r="A111" s="35">
        <v>16</v>
      </c>
      <c r="B111" s="38"/>
      <c r="C111" s="38"/>
      <c r="D111" s="55">
        <f t="shared" si="14"/>
      </c>
      <c r="E111" s="22">
        <f t="shared" si="15"/>
      </c>
      <c r="F111" s="5">
        <f t="shared" si="16"/>
      </c>
      <c r="G111" s="5">
        <f t="shared" si="17"/>
      </c>
    </row>
    <row r="112" spans="1:7" ht="13.5">
      <c r="A112" s="35">
        <v>17</v>
      </c>
      <c r="B112" s="38"/>
      <c r="C112" s="38"/>
      <c r="D112" s="55">
        <f t="shared" si="14"/>
      </c>
      <c r="E112" s="22">
        <f t="shared" si="15"/>
      </c>
      <c r="F112" s="5">
        <f t="shared" si="16"/>
      </c>
      <c r="G112" s="5">
        <f t="shared" si="17"/>
      </c>
    </row>
    <row r="113" spans="1:7" ht="13.5">
      <c r="A113" s="35">
        <v>18</v>
      </c>
      <c r="B113" s="38"/>
      <c r="C113" s="38"/>
      <c r="D113" s="55">
        <f t="shared" si="14"/>
      </c>
      <c r="E113" s="22">
        <f t="shared" si="15"/>
      </c>
      <c r="F113" s="5">
        <f t="shared" si="16"/>
      </c>
      <c r="G113" s="5">
        <f t="shared" si="17"/>
      </c>
    </row>
    <row r="114" spans="1:7" ht="13.5">
      <c r="A114" s="35">
        <v>19</v>
      </c>
      <c r="B114" s="38"/>
      <c r="C114" s="38"/>
      <c r="D114" s="55">
        <f t="shared" si="14"/>
      </c>
      <c r="E114" s="22">
        <f t="shared" si="15"/>
      </c>
      <c r="F114" s="5">
        <f t="shared" si="16"/>
      </c>
      <c r="G114" s="5">
        <f t="shared" si="17"/>
      </c>
    </row>
    <row r="115" spans="1:7" ht="13.5">
      <c r="A115" s="35">
        <v>20</v>
      </c>
      <c r="B115" s="39"/>
      <c r="C115" s="39"/>
      <c r="D115" s="55">
        <f t="shared" si="14"/>
      </c>
      <c r="E115" s="22">
        <f t="shared" si="15"/>
      </c>
      <c r="F115" s="5">
        <f t="shared" si="16"/>
      </c>
      <c r="G115" s="5">
        <f t="shared" si="17"/>
      </c>
    </row>
    <row r="117" ht="13.5">
      <c r="A117" s="7" t="s">
        <v>34</v>
      </c>
    </row>
    <row r="118" spans="1:8" ht="13.5">
      <c r="A118" s="3"/>
      <c r="B118" s="21" t="s">
        <v>6</v>
      </c>
      <c r="C118" s="3" t="s">
        <v>41</v>
      </c>
      <c r="D118" s="3" t="s">
        <v>42</v>
      </c>
      <c r="E118" s="3" t="s">
        <v>79</v>
      </c>
      <c r="F118" s="3" t="s">
        <v>80</v>
      </c>
      <c r="G118" s="3" t="s">
        <v>62</v>
      </c>
      <c r="H118" s="3" t="s">
        <v>77</v>
      </c>
    </row>
    <row r="119" spans="1:8" ht="13.5">
      <c r="A119" s="17"/>
      <c r="B119" s="23">
        <f>SUM($E$90:$E$92,E96:E115)</f>
        <v>0</v>
      </c>
      <c r="C119" s="17">
        <f>COUNTA($B$90:$B$92)</f>
        <v>0</v>
      </c>
      <c r="D119" s="18">
        <f>COUNTA($B$96:$B$115)</f>
        <v>0</v>
      </c>
      <c r="E119" s="17">
        <f>SUMIF($F$96:$F$115,"Equalizer",$G$96:$G$115)</f>
        <v>0</v>
      </c>
      <c r="F119" s="17">
        <f>SUMIF($F$96:$F$115,"Compressor",$G$96:$G$115)</f>
        <v>0</v>
      </c>
      <c r="G119" s="17">
        <f>COUNTIF($F$96:$F$115,"Multi Effects")</f>
        <v>0</v>
      </c>
      <c r="H119" s="17">
        <f>COUNTIF($F$96:$F$115,"MD Player")+COUNTIF($F$96:$F$115,"CD Player")</f>
        <v>0</v>
      </c>
    </row>
    <row r="125" ht="15">
      <c r="A125" s="6" t="s">
        <v>76</v>
      </c>
    </row>
    <row r="126" ht="13.5">
      <c r="A126" s="7" t="s">
        <v>101</v>
      </c>
    </row>
    <row r="127" spans="1:6" ht="13.5">
      <c r="A127" s="3"/>
      <c r="B127" s="21" t="s">
        <v>84</v>
      </c>
      <c r="C127" s="3"/>
      <c r="D127" s="21" t="s">
        <v>85</v>
      </c>
      <c r="E127" s="3"/>
      <c r="F127" s="21" t="s">
        <v>95</v>
      </c>
    </row>
    <row r="128" spans="1:6" ht="13.5">
      <c r="A128" s="17"/>
      <c r="B128" s="23">
        <f>$B$48</f>
        <v>0</v>
      </c>
      <c r="C128" s="19" t="s">
        <v>82</v>
      </c>
      <c r="D128" s="24">
        <f>$B$119</f>
        <v>0</v>
      </c>
      <c r="E128" s="20" t="s">
        <v>83</v>
      </c>
      <c r="F128" s="24">
        <f>SUM($B$128,$D$128)</f>
        <v>0</v>
      </c>
    </row>
    <row r="130" ht="13.5">
      <c r="A130" s="7" t="s">
        <v>130</v>
      </c>
    </row>
    <row r="131" spans="1:11" ht="13.5">
      <c r="A131" s="3"/>
      <c r="B131" s="21" t="s">
        <v>100</v>
      </c>
      <c r="C131" s="21" t="s">
        <v>96</v>
      </c>
      <c r="D131" s="21" t="s">
        <v>97</v>
      </c>
      <c r="E131" s="21" t="s">
        <v>98</v>
      </c>
      <c r="F131" s="21" t="s">
        <v>99</v>
      </c>
      <c r="G131" s="21" t="s">
        <v>102</v>
      </c>
      <c r="H131" s="21" t="s">
        <v>103</v>
      </c>
      <c r="I131" s="21" t="s">
        <v>104</v>
      </c>
      <c r="J131" s="21" t="s">
        <v>105</v>
      </c>
      <c r="K131" s="21" t="s">
        <v>106</v>
      </c>
    </row>
    <row r="132" spans="1:11" ht="13.5">
      <c r="A132" s="10"/>
      <c r="B132" s="22">
        <f>SUMIF($C$35:$C$44,1,$E$35:$E$44)+SUMIF($C$90:$C$92,1,$E$90:$E$92)+SUMIF($C$96:$C$115,1,$E$96:$E$115)</f>
        <v>0</v>
      </c>
      <c r="C132" s="22">
        <f>SUMIF($C$35:$C$44,2,$E$35:$E$44)+SUMIF($C$90:$C$92,2,$E$90:$E$92)+SUMIF($C$96:$C$115,2,$E$96:$E$115)</f>
        <v>0</v>
      </c>
      <c r="D132" s="22">
        <f>SUMIF($C$35:$C$44,3,$E$35:$E$44)+SUMIF($C$90:$C$92,3,$E$90:$E$92)+SUMIF($C$96:$C$115,3,$E$96:$E$115)</f>
        <v>0</v>
      </c>
      <c r="E132" s="22">
        <f>SUMIF($C$35:$C$44,4,$E$35:$E$44)+SUMIF($C$90:$C$92,4,$E$90:$E$92)+SUMIF($C$96:$C$115,4,$E$96:$E$115)</f>
        <v>0</v>
      </c>
      <c r="F132" s="22">
        <f>SUMIF($C$35:$C$44,5,$E$35:$E$44)+SUMIF($C$90:$C$92,5,$E$90:$E$92)+SUMIF($C$96:$C$115,5,$E$96:$E$115)</f>
        <v>0</v>
      </c>
      <c r="G132" s="22">
        <f>SUMIF($C$35:$C$44,6,$E$35:$E$44)+SUMIF($C$90:$C$92,6,$E$90:$E$92)+SUMIF($C$96:$C$115,6,$E$96:$E$115)</f>
        <v>0</v>
      </c>
      <c r="H132" s="22">
        <f>SUMIF($C$35:$C$44,7,$E$35:$E$44)+SUMIF($C$90:$C$92,7,$E$90:$E$92)+SUMIF($C$96:$C$115,7,$E$96:$E$115)</f>
        <v>0</v>
      </c>
      <c r="I132" s="22">
        <f>SUMIF($C$35:$C$44,8,$E$35:$E$44)+SUMIF($C$90:$C$92,8,$E$90:$E$92)+SUMIF($C$96:$C$115,8,$E$96:$E$115)</f>
        <v>0</v>
      </c>
      <c r="J132" s="22">
        <f>SUMIF($C$35:$C$44,9,$E$35:$E$44)+SUMIF($C$90:$C$92,9,$E$90:$E$92)+SUMIF($C$96:$C$115,9,$E$96:$E$115)</f>
        <v>0</v>
      </c>
      <c r="K132" s="22">
        <f>SUMIF($C$35:$C$44,10,$E$35:$E$44)+SUMIF($C$90:$C$92,10,$E$90:$E$92)+SUMIF($C$96:$C$115,10,$E$96:$E$115)</f>
        <v>0</v>
      </c>
    </row>
    <row r="165" ht="15">
      <c r="A165" s="6" t="s">
        <v>93</v>
      </c>
    </row>
    <row r="166" ht="13.5">
      <c r="A166" s="7" t="s">
        <v>86</v>
      </c>
    </row>
    <row r="167" spans="1:11" ht="13.5">
      <c r="A167" s="27" t="s">
        <v>2</v>
      </c>
      <c r="B167" s="26">
        <v>1</v>
      </c>
      <c r="C167" s="26">
        <v>2</v>
      </c>
      <c r="D167" s="26">
        <v>3</v>
      </c>
      <c r="E167" s="26">
        <v>4</v>
      </c>
      <c r="F167" s="26">
        <v>5</v>
      </c>
      <c r="G167" s="26">
        <v>6</v>
      </c>
      <c r="H167" s="26">
        <v>7</v>
      </c>
      <c r="I167" s="26">
        <v>8</v>
      </c>
      <c r="J167" s="26">
        <v>9</v>
      </c>
      <c r="K167" s="26">
        <v>10</v>
      </c>
    </row>
    <row r="168" spans="1:11" ht="13.5">
      <c r="A168" s="27" t="s">
        <v>87</v>
      </c>
      <c r="B168" s="58" t="str">
        <f>$C$7</f>
        <v>P5000S</v>
      </c>
      <c r="C168" s="58" t="str">
        <f>$C$8</f>
        <v>PC3500</v>
      </c>
      <c r="D168" s="58" t="str">
        <f>$C$9</f>
        <v>P2500S</v>
      </c>
      <c r="E168" s="58" t="str">
        <f>$C$10</f>
        <v>PC2002M</v>
      </c>
      <c r="F168" s="58" t="str">
        <f>$C$11</f>
        <v>A150</v>
      </c>
      <c r="G168" s="58" t="str">
        <f>$C$12</f>
        <v>PC1002</v>
      </c>
      <c r="H168" s="58">
        <f>$C$13</f>
        <v>0</v>
      </c>
      <c r="I168" s="58">
        <f>$C$14</f>
        <v>0</v>
      </c>
      <c r="J168" s="58">
        <f>$C$15</f>
        <v>0</v>
      </c>
      <c r="K168" s="58">
        <f>$C$16</f>
        <v>0</v>
      </c>
    </row>
    <row r="169" spans="1:11" ht="13.5">
      <c r="A169" s="27" t="s">
        <v>91</v>
      </c>
      <c r="B169" s="34">
        <f>$F$7</f>
        <v>1</v>
      </c>
      <c r="C169" s="34">
        <f>$F$8</f>
        <v>2</v>
      </c>
      <c r="D169" s="34">
        <f>$F$9</f>
        <v>2</v>
      </c>
      <c r="E169" s="34">
        <f>$F$10</f>
        <v>1</v>
      </c>
      <c r="F169" s="34">
        <f>$F$11</f>
        <v>2</v>
      </c>
      <c r="G169" s="34">
        <f>$F$12</f>
        <v>1</v>
      </c>
      <c r="H169" s="34">
        <f>$F$13</f>
      </c>
      <c r="I169" s="34">
        <f>$F$14</f>
      </c>
      <c r="J169" s="34">
        <f>$F$15</f>
      </c>
      <c r="K169" s="34">
        <f>$F$16</f>
      </c>
    </row>
    <row r="171" ht="13.5">
      <c r="A171" s="7" t="s">
        <v>88</v>
      </c>
    </row>
    <row r="172" spans="1:11" ht="13.5">
      <c r="A172" s="27" t="s">
        <v>2</v>
      </c>
      <c r="B172" s="26">
        <v>1</v>
      </c>
      <c r="C172" s="26">
        <v>2</v>
      </c>
      <c r="D172" s="26">
        <v>3</v>
      </c>
      <c r="E172" s="26">
        <v>4</v>
      </c>
      <c r="F172" s="26">
        <v>5</v>
      </c>
      <c r="G172" s="26">
        <v>6</v>
      </c>
      <c r="H172" s="26">
        <v>7</v>
      </c>
      <c r="I172" s="26">
        <v>8</v>
      </c>
      <c r="J172" s="26">
        <v>9</v>
      </c>
      <c r="K172" s="26">
        <v>10</v>
      </c>
    </row>
    <row r="173" spans="1:11" ht="13.5">
      <c r="A173" s="27" t="s">
        <v>87</v>
      </c>
      <c r="B173" s="58" t="str">
        <f>$C$21</f>
        <v>S215V</v>
      </c>
      <c r="C173" s="58" t="str">
        <f>$C$22</f>
        <v>WF115</v>
      </c>
      <c r="D173" s="58" t="str">
        <f>$C$23</f>
        <v>Sx300</v>
      </c>
      <c r="E173" s="58" t="str">
        <f>$C$24</f>
        <v>SM15IV</v>
      </c>
      <c r="F173" s="58" t="str">
        <f>$C$25</f>
        <v>Eliminator-Monitor</v>
      </c>
      <c r="G173" s="58" t="str">
        <f>$C$26</f>
        <v>SM12V</v>
      </c>
      <c r="H173" s="58" t="str">
        <f>$C$27</f>
        <v>SM12H-II</v>
      </c>
      <c r="I173" s="58" t="str">
        <f>$C$28</f>
        <v>S200</v>
      </c>
      <c r="J173" s="58" t="str">
        <f>$C$29</f>
        <v>101MM</v>
      </c>
      <c r="K173" s="58">
        <f>$C$30</f>
        <v>0</v>
      </c>
    </row>
    <row r="174" spans="1:11" ht="13.5">
      <c r="A174" s="27" t="s">
        <v>92</v>
      </c>
      <c r="B174" s="34">
        <f>$F$21</f>
        <v>2</v>
      </c>
      <c r="C174" s="34">
        <f>$F$22</f>
        <v>2</v>
      </c>
      <c r="D174" s="34">
        <f>$F$23</f>
        <v>2</v>
      </c>
      <c r="E174" s="34">
        <f>$F$24</f>
        <v>2</v>
      </c>
      <c r="F174" s="34">
        <f>$F$25</f>
        <v>4</v>
      </c>
      <c r="G174" s="34">
        <f>$F$26</f>
        <v>2</v>
      </c>
      <c r="H174" s="34">
        <f>$F$27</f>
        <v>2</v>
      </c>
      <c r="I174" s="34">
        <f>$F$28</f>
        <v>0</v>
      </c>
      <c r="J174" s="34">
        <f>$F$29</f>
        <v>1</v>
      </c>
      <c r="K174" s="34">
        <f>$F$30</f>
      </c>
    </row>
    <row r="176" ht="13.5">
      <c r="A176" s="7" t="s">
        <v>41</v>
      </c>
    </row>
    <row r="177" spans="1:16" ht="13.5">
      <c r="A177" s="25" t="s">
        <v>2</v>
      </c>
      <c r="B177" s="26">
        <v>1</v>
      </c>
      <c r="C177" s="26">
        <v>2</v>
      </c>
      <c r="D177" s="26">
        <v>3</v>
      </c>
      <c r="E177" s="26">
        <v>4</v>
      </c>
      <c r="F177" s="26">
        <v>5</v>
      </c>
      <c r="L177"/>
      <c r="M177"/>
      <c r="N177"/>
      <c r="O177"/>
      <c r="P177"/>
    </row>
    <row r="178" spans="1:16" ht="13.5">
      <c r="A178" s="25" t="s">
        <v>87</v>
      </c>
      <c r="B178" s="58" t="str">
        <f>$C$57</f>
        <v>GA32/12</v>
      </c>
      <c r="C178" s="58" t="str">
        <f>$C$58</f>
        <v>MC1604II</v>
      </c>
      <c r="D178" s="58" t="str">
        <f>$C$59</f>
        <v>MG16/6FX</v>
      </c>
      <c r="E178" s="58">
        <f>$C$60</f>
        <v>0</v>
      </c>
      <c r="F178" s="58">
        <f>$C$61</f>
        <v>0</v>
      </c>
      <c r="L178"/>
      <c r="M178"/>
      <c r="N178"/>
      <c r="O178"/>
      <c r="P178"/>
    </row>
    <row r="179" spans="1:16" ht="13.5">
      <c r="A179" s="25" t="s">
        <v>92</v>
      </c>
      <c r="B179" s="34">
        <f>$F$57</f>
        <v>1</v>
      </c>
      <c r="C179" s="34">
        <f>$F$58</f>
        <v>1</v>
      </c>
      <c r="D179" s="34">
        <f>$F$59</f>
        <v>1</v>
      </c>
      <c r="E179" s="34">
        <f>$F$60</f>
      </c>
      <c r="F179" s="34">
        <f>$F$61</f>
      </c>
      <c r="L179"/>
      <c r="M179"/>
      <c r="N179"/>
      <c r="O179"/>
      <c r="P179"/>
    </row>
    <row r="181" ht="13.5">
      <c r="A181" s="7" t="s">
        <v>89</v>
      </c>
    </row>
    <row r="182" spans="1:21" ht="13.5">
      <c r="A182" s="25" t="s">
        <v>2</v>
      </c>
      <c r="B182" s="26">
        <v>1</v>
      </c>
      <c r="C182" s="26">
        <v>2</v>
      </c>
      <c r="D182" s="26">
        <v>3</v>
      </c>
      <c r="E182" s="26">
        <v>4</v>
      </c>
      <c r="F182" s="26">
        <v>5</v>
      </c>
      <c r="G182" s="26">
        <v>6</v>
      </c>
      <c r="H182" s="26">
        <v>7</v>
      </c>
      <c r="I182" s="26">
        <v>8</v>
      </c>
      <c r="J182" s="26">
        <v>9</v>
      </c>
      <c r="K182" s="26">
        <v>10</v>
      </c>
      <c r="L182" s="26">
        <v>11</v>
      </c>
      <c r="M182" s="26">
        <v>12</v>
      </c>
      <c r="N182" s="26">
        <v>13</v>
      </c>
      <c r="O182" s="26">
        <v>14</v>
      </c>
      <c r="P182" s="26">
        <v>15</v>
      </c>
      <c r="Q182" s="26">
        <v>16</v>
      </c>
      <c r="R182" s="26">
        <v>17</v>
      </c>
      <c r="S182" s="26">
        <v>18</v>
      </c>
      <c r="T182" s="26">
        <v>19</v>
      </c>
      <c r="U182" s="26">
        <v>20</v>
      </c>
    </row>
    <row r="183" spans="1:21" ht="13.5">
      <c r="A183" s="25" t="s">
        <v>87</v>
      </c>
      <c r="B183" s="58">
        <f>$C$66</f>
        <v>2231</v>
      </c>
      <c r="C183" s="58">
        <f>$C$67</f>
        <v>1231</v>
      </c>
      <c r="D183" s="58" t="str">
        <f>$C$68</f>
        <v>166XL</v>
      </c>
      <c r="E183" s="58" t="str">
        <f>$C$69</f>
        <v>160A</v>
      </c>
      <c r="F183" s="58" t="str">
        <f>$C$70</f>
        <v>SPX2000</v>
      </c>
      <c r="G183" s="58" t="str">
        <f>$C$71</f>
        <v>SPX900</v>
      </c>
      <c r="H183" s="58" t="str">
        <f>$C$72</f>
        <v>SPX90</v>
      </c>
      <c r="I183" s="58" t="str">
        <f>$C$73</f>
        <v>MDS-E12</v>
      </c>
      <c r="J183" s="58" t="str">
        <f>$C$74</f>
        <v>PMD331</v>
      </c>
      <c r="K183" s="58" t="str">
        <f>$C$75</f>
        <v>CDR510</v>
      </c>
      <c r="L183" s="58">
        <f>$C$76</f>
        <v>0</v>
      </c>
      <c r="M183" s="58">
        <f>$C$77</f>
        <v>0</v>
      </c>
      <c r="N183" s="58">
        <f>$C$78</f>
        <v>0</v>
      </c>
      <c r="O183" s="58">
        <f>$C$79</f>
        <v>0</v>
      </c>
      <c r="P183" s="58">
        <f>$C$80</f>
        <v>0</v>
      </c>
      <c r="Q183" s="58">
        <f>$C$81</f>
        <v>0</v>
      </c>
      <c r="R183" s="58">
        <f>$C$82</f>
        <v>0</v>
      </c>
      <c r="S183" s="58">
        <f>$C$83</f>
        <v>0</v>
      </c>
      <c r="T183" s="58">
        <f>$C$84</f>
        <v>0</v>
      </c>
      <c r="U183" s="58">
        <f>$C$85</f>
        <v>0</v>
      </c>
    </row>
    <row r="184" spans="1:21" s="33" customFormat="1" ht="13.5">
      <c r="A184" s="32" t="s">
        <v>92</v>
      </c>
      <c r="B184" s="34">
        <f>$F$66</f>
        <v>5</v>
      </c>
      <c r="C184" s="34">
        <f>$F$67</f>
        <v>1</v>
      </c>
      <c r="D184" s="34">
        <f>$F$68</f>
        <v>2</v>
      </c>
      <c r="E184" s="34">
        <f>$F$69</f>
        <v>1</v>
      </c>
      <c r="F184" s="34">
        <f>$F$70</f>
        <v>1</v>
      </c>
      <c r="G184" s="34">
        <f>$F$71</f>
        <v>1</v>
      </c>
      <c r="H184" s="34">
        <f>$F$72</f>
        <v>2</v>
      </c>
      <c r="I184" s="34">
        <f>$F$73</f>
        <v>2</v>
      </c>
      <c r="J184" s="34">
        <f>$F$74</f>
        <v>1</v>
      </c>
      <c r="K184" s="34">
        <f>$F$75</f>
        <v>1</v>
      </c>
      <c r="L184" s="34">
        <f>$F$76</f>
      </c>
      <c r="M184" s="34">
        <f>$F$77</f>
      </c>
      <c r="N184" s="34">
        <f>$F$78</f>
      </c>
      <c r="O184" s="34">
        <f>$F$79</f>
      </c>
      <c r="P184" s="34">
        <f>$F$80</f>
      </c>
      <c r="Q184" s="34">
        <f>$F$81</f>
      </c>
      <c r="R184" s="34">
        <f>$F$82</f>
      </c>
      <c r="S184" s="34">
        <f>$F$83</f>
      </c>
      <c r="T184" s="34">
        <f>$F$84</f>
      </c>
      <c r="U184" s="34">
        <f>$F$85</f>
      </c>
    </row>
  </sheetData>
  <sheetProtection sheet="1" objects="1" scenarios="1"/>
  <mergeCells count="1">
    <mergeCell ref="C2:G2"/>
  </mergeCells>
  <conditionalFormatting sqref="F7:F16 B184:U184 F57:F61 F66:F85 B169:K169 B174:K174 B179:F179 F21:F30">
    <cfRule type="cellIs" priority="1" dxfId="0" operator="lessThan" stopIfTrue="1">
      <formula>0</formula>
    </cfRule>
  </conditionalFormatting>
  <printOptions/>
  <pageMargins left="0.75" right="0.75" top="1" bottom="1" header="0.512" footer="0.512"/>
  <pageSetup orientation="portrait" paperSize="9" r:id="rId1"/>
  <ignoredErrors>
    <ignoredError sqref="E35 F9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09"/>
  <sheetViews>
    <sheetView workbookViewId="0" topLeftCell="A1">
      <pane ySplit="7140" topLeftCell="BM200" activePane="topLeft" state="split"/>
      <selection pane="topLeft" activeCell="A1" sqref="A1"/>
      <selection pane="bottomLeft" activeCell="A198" sqref="A198"/>
    </sheetView>
  </sheetViews>
  <sheetFormatPr defaultColWidth="8.796875" defaultRowHeight="14.25"/>
  <cols>
    <col min="1" max="1" width="2.796875" style="1" customWidth="1"/>
    <col min="2" max="22" width="8.296875" style="1" customWidth="1"/>
  </cols>
  <sheetData>
    <row r="1" spans="2:7" ht="18">
      <c r="B1" s="2" t="s">
        <v>107</v>
      </c>
      <c r="C1" s="2"/>
      <c r="G1" s="1" t="str">
        <f>'1_Power Consumption Sheet'!$G$1</f>
        <v>ver.1.04</v>
      </c>
    </row>
    <row r="2" spans="2:11" ht="15">
      <c r="B2" s="71" t="s">
        <v>152</v>
      </c>
      <c r="C2" s="97">
        <f>'1_Power Consumption Sheet'!$C$2:$G$2</f>
        <v>0</v>
      </c>
      <c r="D2" s="97"/>
      <c r="E2" s="97"/>
      <c r="F2" s="97"/>
      <c r="G2" s="97"/>
      <c r="K2" s="1" t="str">
        <f>'1_Power Consumption Sheet'!$K$2</f>
        <v>ver.</v>
      </c>
    </row>
    <row r="4" ht="15">
      <c r="A4" s="6" t="s">
        <v>108</v>
      </c>
    </row>
    <row r="5" ht="13.5">
      <c r="A5" s="7" t="s">
        <v>86</v>
      </c>
    </row>
    <row r="6" spans="1:11" ht="13.5">
      <c r="A6" s="3" t="s">
        <v>2</v>
      </c>
      <c r="B6" s="3" t="s">
        <v>30</v>
      </c>
      <c r="C6" s="3" t="s">
        <v>3</v>
      </c>
      <c r="D6" s="3" t="s">
        <v>4</v>
      </c>
      <c r="E6" s="3" t="s">
        <v>38</v>
      </c>
      <c r="F6" s="3" t="s">
        <v>5</v>
      </c>
      <c r="G6" s="21" t="s">
        <v>6</v>
      </c>
      <c r="H6" s="3" t="s">
        <v>31</v>
      </c>
      <c r="I6" s="3" t="s">
        <v>32</v>
      </c>
      <c r="J6" s="3" t="s">
        <v>33</v>
      </c>
      <c r="K6" s="3" t="s">
        <v>7</v>
      </c>
    </row>
    <row r="7" spans="1:11" ht="13.5">
      <c r="A7" s="8">
        <v>1</v>
      </c>
      <c r="B7" s="42" t="str">
        <f>IF('1_Power Consumption Sheet'!$B7="","",VLOOKUP($A7,'1_Power Consumption Sheet'!$A$7:$K$16,2))</f>
        <v>YAMAHA</v>
      </c>
      <c r="C7" s="59" t="str">
        <f>IF('1_Power Consumption Sheet'!$C7="","",VLOOKUP($A7,'1_Power Consumption Sheet'!$A$7:$K$16,3))</f>
        <v>P5000S</v>
      </c>
      <c r="D7" s="42">
        <f>IF('1_Power Consumption Sheet'!$D7="","",VLOOKUP($A7,'1_Power Consumption Sheet'!$A$7:$K$16,4))</f>
        <v>1</v>
      </c>
      <c r="E7" s="42">
        <f>IF('1_Power Consumption Sheet'!$E7="","",VLOOKUP($A7,'1_Power Consumption Sheet'!$A$7:$K$16,5))</f>
        <v>0</v>
      </c>
      <c r="F7" s="10">
        <f>IF(ISNUMBER($D7)=TRUE,IF(ISNUMBER($E7)=TRUE,$D7-$E7-COUNTIF($B$52,$A7)-COUNTIF($B$77,$A7)-COUNTIF($B$102,$A7)-COUNTIF($B$127,$A7)-COUNTIF($B$152,$A7),""),"")</f>
        <v>1</v>
      </c>
      <c r="G7" s="41">
        <f>IF('1_Power Consumption Sheet'!$G7="","",VLOOKUP($A7,'1_Power Consumption Sheet'!$A$7:$K$16,7))</f>
        <v>500</v>
      </c>
      <c r="H7" s="42">
        <f>IF('1_Power Consumption Sheet'!$H7="","",VLOOKUP($A7,'1_Power Consumption Sheet'!$A$7:$K$16,8))</f>
        <v>500</v>
      </c>
      <c r="I7" s="42">
        <f>IF('1_Power Consumption Sheet'!$I7="","",VLOOKUP($A7,'1_Power Consumption Sheet'!$A$7:$K$16,9))</f>
        <v>750</v>
      </c>
      <c r="J7" s="42">
        <f>IF('1_Power Consumption Sheet'!$J7="","",VLOOKUP($A7,'1_Power Consumption Sheet'!$A$7:$K$16,10))</f>
        <v>1500</v>
      </c>
      <c r="K7" s="42">
        <f>IF('1_Power Consumption Sheet'!$K7="","",VLOOKUP($A7,'1_Power Consumption Sheet'!$A$7:$K$16,11))</f>
        <v>2</v>
      </c>
    </row>
    <row r="8" spans="1:11" ht="13.5">
      <c r="A8" s="8">
        <v>2</v>
      </c>
      <c r="B8" s="42" t="str">
        <f>IF('1_Power Consumption Sheet'!$B8="","",VLOOKUP($A8,'1_Power Consumption Sheet'!$A$7:$K$16,2))</f>
        <v>YAMAHA</v>
      </c>
      <c r="C8" s="59" t="str">
        <f>IF('1_Power Consumption Sheet'!$C8="","",VLOOKUP($A8,'1_Power Consumption Sheet'!$A$7:$K$16,3))</f>
        <v>PC3500</v>
      </c>
      <c r="D8" s="42">
        <f>IF('1_Power Consumption Sheet'!$D8="","",VLOOKUP($A8,'1_Power Consumption Sheet'!$A$7:$K$16,4))</f>
        <v>2</v>
      </c>
      <c r="E8" s="42">
        <f>IF('1_Power Consumption Sheet'!$E8="","",VLOOKUP($A8,'1_Power Consumption Sheet'!$A$7:$K$16,5))</f>
        <v>0</v>
      </c>
      <c r="F8" s="10">
        <f aca="true" t="shared" si="0" ref="F8:F16">IF(ISNUMBER($D8)=TRUE,IF(ISNUMBER($E8)=TRUE,$D8-$E8-COUNTIF($B$52,$A8)-COUNTIF($B$77,$A8)-COUNTIF($B$102,$A8)-COUNTIF($B$127,$A8)-COUNTIF($B$152,$A8),""),"")</f>
        <v>2</v>
      </c>
      <c r="G8" s="41">
        <f>IF('1_Power Consumption Sheet'!$G8="","",VLOOKUP($A8,'1_Power Consumption Sheet'!$A$7:$K$16,7))</f>
        <v>450</v>
      </c>
      <c r="H8" s="42">
        <f>IF('1_Power Consumption Sheet'!$H8="","",VLOOKUP($A8,'1_Power Consumption Sheet'!$A$7:$K$16,8))</f>
        <v>350</v>
      </c>
      <c r="I8" s="42">
        <f>IF('1_Power Consumption Sheet'!$I8="","",VLOOKUP($A8,'1_Power Consumption Sheet'!$A$7:$K$16,9))</f>
        <v>500</v>
      </c>
      <c r="J8" s="42">
        <f>IF('1_Power Consumption Sheet'!$J8="","",VLOOKUP($A8,'1_Power Consumption Sheet'!$A$7:$K$16,10))</f>
        <v>1000</v>
      </c>
      <c r="K8" s="42">
        <f>IF('1_Power Consumption Sheet'!$K8="","",VLOOKUP($A8,'1_Power Consumption Sheet'!$A$7:$K$16,11))</f>
        <v>2</v>
      </c>
    </row>
    <row r="9" spans="1:11" ht="13.5">
      <c r="A9" s="8">
        <v>3</v>
      </c>
      <c r="B9" s="42" t="str">
        <f>IF('1_Power Consumption Sheet'!$B9="","",VLOOKUP($A9,'1_Power Consumption Sheet'!$A$7:$K$16,2))</f>
        <v>YAMAHA</v>
      </c>
      <c r="C9" s="59" t="str">
        <f>IF('1_Power Consumption Sheet'!$C9="","",VLOOKUP($A9,'1_Power Consumption Sheet'!$A$7:$K$16,3))</f>
        <v>P2500S</v>
      </c>
      <c r="D9" s="42">
        <f>IF('1_Power Consumption Sheet'!$D9="","",VLOOKUP($A9,'1_Power Consumption Sheet'!$A$7:$K$16,4))</f>
        <v>2</v>
      </c>
      <c r="E9" s="42">
        <f>IF('1_Power Consumption Sheet'!$E9="","",VLOOKUP($A9,'1_Power Consumption Sheet'!$A$7:$K$16,5))</f>
        <v>0</v>
      </c>
      <c r="F9" s="10">
        <f t="shared" si="0"/>
        <v>2</v>
      </c>
      <c r="G9" s="41">
        <f>IF('1_Power Consumption Sheet'!$G9="","",VLOOKUP($A9,'1_Power Consumption Sheet'!$A$7:$K$16,7))</f>
        <v>320</v>
      </c>
      <c r="H9" s="42">
        <f>IF('1_Power Consumption Sheet'!$H9="","",VLOOKUP($A9,'1_Power Consumption Sheet'!$A$7:$K$16,8))</f>
        <v>250</v>
      </c>
      <c r="I9" s="42">
        <f>IF('1_Power Consumption Sheet'!$I9="","",VLOOKUP($A9,'1_Power Consumption Sheet'!$A$7:$K$16,9))</f>
        <v>390</v>
      </c>
      <c r="J9" s="42">
        <f>IF('1_Power Consumption Sheet'!$J9="","",VLOOKUP($A9,'1_Power Consumption Sheet'!$A$7:$K$16,10))</f>
        <v>780</v>
      </c>
      <c r="K9" s="42">
        <f>IF('1_Power Consumption Sheet'!$K9="","",VLOOKUP($A9,'1_Power Consumption Sheet'!$A$7:$K$16,11))</f>
        <v>2</v>
      </c>
    </row>
    <row r="10" spans="1:11" ht="13.5">
      <c r="A10" s="8">
        <v>4</v>
      </c>
      <c r="B10" s="42" t="str">
        <f>IF('1_Power Consumption Sheet'!$B10="","",VLOOKUP($A10,'1_Power Consumption Sheet'!$A$7:$K$16,2))</f>
        <v>YAMAHA</v>
      </c>
      <c r="C10" s="59" t="str">
        <f>IF('1_Power Consumption Sheet'!$C10="","",VLOOKUP($A10,'1_Power Consumption Sheet'!$A$7:$K$16,3))</f>
        <v>PC2002M</v>
      </c>
      <c r="D10" s="42">
        <f>IF('1_Power Consumption Sheet'!$D10="","",VLOOKUP($A10,'1_Power Consumption Sheet'!$A$7:$K$16,4))</f>
        <v>1</v>
      </c>
      <c r="E10" s="42">
        <f>IF('1_Power Consumption Sheet'!$E10="","",VLOOKUP($A10,'1_Power Consumption Sheet'!$A$7:$K$16,5))</f>
        <v>0</v>
      </c>
      <c r="F10" s="10">
        <f t="shared" si="0"/>
        <v>1</v>
      </c>
      <c r="G10" s="41">
        <f>IF('1_Power Consumption Sheet'!$G10="","",VLOOKUP($A10,'1_Power Consumption Sheet'!$A$7:$K$16,7))</f>
        <v>350</v>
      </c>
      <c r="H10" s="42">
        <f>IF('1_Power Consumption Sheet'!$H10="","",VLOOKUP($A10,'1_Power Consumption Sheet'!$A$7:$K$16,8))</f>
        <v>240</v>
      </c>
      <c r="I10" s="42" t="str">
        <f>IF('1_Power Consumption Sheet'!$I10="","",VLOOKUP($A10,'1_Power Consumption Sheet'!$A$7:$K$16,9))</f>
        <v>-</v>
      </c>
      <c r="J10" s="42" t="str">
        <f>IF('1_Power Consumption Sheet'!$J10="","",VLOOKUP($A10,'1_Power Consumption Sheet'!$A$7:$K$16,10))</f>
        <v>-</v>
      </c>
      <c r="K10" s="42">
        <f>IF('1_Power Consumption Sheet'!$K10="","",VLOOKUP($A10,'1_Power Consumption Sheet'!$A$7:$K$16,11))</f>
        <v>2</v>
      </c>
    </row>
    <row r="11" spans="1:11" ht="13.5">
      <c r="A11" s="8">
        <v>5</v>
      </c>
      <c r="B11" s="42" t="str">
        <f>IF('1_Power Consumption Sheet'!$B11="","",VLOOKUP($A11,'1_Power Consumption Sheet'!$A$7:$K$16,2))</f>
        <v>YAMAHA</v>
      </c>
      <c r="C11" s="59" t="str">
        <f>IF('1_Power Consumption Sheet'!$C11="","",VLOOKUP($A11,'1_Power Consumption Sheet'!$A$7:$K$16,3))</f>
        <v>A150</v>
      </c>
      <c r="D11" s="42">
        <f>IF('1_Power Consumption Sheet'!$D11="","",VLOOKUP($A11,'1_Power Consumption Sheet'!$A$7:$K$16,4))</f>
        <v>2</v>
      </c>
      <c r="E11" s="42">
        <f>IF('1_Power Consumption Sheet'!$E11="","",VLOOKUP($A11,'1_Power Consumption Sheet'!$A$7:$K$16,5))</f>
        <v>0</v>
      </c>
      <c r="F11" s="10">
        <f t="shared" si="0"/>
        <v>2</v>
      </c>
      <c r="G11" s="41">
        <f>IF('1_Power Consumption Sheet'!$G11="","",VLOOKUP($A11,'1_Power Consumption Sheet'!$A$7:$K$16,7))</f>
        <v>350</v>
      </c>
      <c r="H11" s="42">
        <f>IF('1_Power Consumption Sheet'!$H11="","",VLOOKUP($A11,'1_Power Consumption Sheet'!$A$7:$K$16,8))</f>
        <v>150</v>
      </c>
      <c r="I11" s="42">
        <f>IF('1_Power Consumption Sheet'!$I11="","",VLOOKUP($A11,'1_Power Consumption Sheet'!$A$7:$K$16,9))</f>
        <v>210</v>
      </c>
      <c r="J11" s="42">
        <f>IF('1_Power Consumption Sheet'!$J11="","",VLOOKUP($A11,'1_Power Consumption Sheet'!$A$7:$K$16,10))</f>
        <v>420</v>
      </c>
      <c r="K11" s="42">
        <f>IF('1_Power Consumption Sheet'!$K11="","",VLOOKUP($A11,'1_Power Consumption Sheet'!$A$7:$K$16,11))</f>
        <v>2</v>
      </c>
    </row>
    <row r="12" spans="1:11" ht="13.5">
      <c r="A12" s="8">
        <v>6</v>
      </c>
      <c r="B12" s="42" t="str">
        <f>IF('1_Power Consumption Sheet'!$B12="","",VLOOKUP($A12,'1_Power Consumption Sheet'!$A$7:$K$16,2))</f>
        <v>YAMAHA</v>
      </c>
      <c r="C12" s="59" t="str">
        <f>IF('1_Power Consumption Sheet'!$C12="","",VLOOKUP($A12,'1_Power Consumption Sheet'!$A$7:$K$16,3))</f>
        <v>PC1002</v>
      </c>
      <c r="D12" s="42">
        <f>IF('1_Power Consumption Sheet'!$D12="","",VLOOKUP($A12,'1_Power Consumption Sheet'!$A$7:$K$16,4))</f>
        <v>1</v>
      </c>
      <c r="E12" s="42">
        <f>IF('1_Power Consumption Sheet'!$E12="","",VLOOKUP($A12,'1_Power Consumption Sheet'!$A$7:$K$16,5))</f>
        <v>0</v>
      </c>
      <c r="F12" s="10">
        <f t="shared" si="0"/>
        <v>1</v>
      </c>
      <c r="G12" s="41">
        <f>IF('1_Power Consumption Sheet'!$G12="","",VLOOKUP($A12,'1_Power Consumption Sheet'!$A$7:$K$16,7))</f>
        <v>250</v>
      </c>
      <c r="H12" s="42">
        <f>IF('1_Power Consumption Sheet'!$H12="","",VLOOKUP($A12,'1_Power Consumption Sheet'!$A$7:$K$16,8))</f>
        <v>100</v>
      </c>
      <c r="I12" s="42" t="str">
        <f>IF('1_Power Consumption Sheet'!$I12="","",VLOOKUP($A12,'1_Power Consumption Sheet'!$A$7:$K$16,9))</f>
        <v>-</v>
      </c>
      <c r="J12" s="42" t="str">
        <f>IF('1_Power Consumption Sheet'!$J12="","",VLOOKUP($A12,'1_Power Consumption Sheet'!$A$7:$K$16,10))</f>
        <v>-</v>
      </c>
      <c r="K12" s="42">
        <f>IF('1_Power Consumption Sheet'!$K12="","",VLOOKUP($A12,'1_Power Consumption Sheet'!$A$7:$K$16,11))</f>
        <v>2</v>
      </c>
    </row>
    <row r="13" spans="1:11" ht="13.5">
      <c r="A13" s="8">
        <v>7</v>
      </c>
      <c r="B13" s="42">
        <f>IF('1_Power Consumption Sheet'!$B13="","",VLOOKUP($A13,'1_Power Consumption Sheet'!$A$7:$K$16,2))</f>
      </c>
      <c r="C13" s="59">
        <f>IF('1_Power Consumption Sheet'!$C13="","",VLOOKUP($A13,'1_Power Consumption Sheet'!$A$7:$K$16,3))</f>
      </c>
      <c r="D13" s="42">
        <f>IF('1_Power Consumption Sheet'!$D13="","",VLOOKUP($A13,'1_Power Consumption Sheet'!$A$7:$K$16,4))</f>
      </c>
      <c r="E13" s="42">
        <f>IF('1_Power Consumption Sheet'!$E13="","",VLOOKUP($A13,'1_Power Consumption Sheet'!$A$7:$K$16,5))</f>
      </c>
      <c r="F13" s="10">
        <f t="shared" si="0"/>
      </c>
      <c r="G13" s="41">
        <f>IF('1_Power Consumption Sheet'!$G13="","",VLOOKUP($A13,'1_Power Consumption Sheet'!$A$7:$K$16,7))</f>
      </c>
      <c r="H13" s="42">
        <f>IF('1_Power Consumption Sheet'!$H13="","",VLOOKUP($A13,'1_Power Consumption Sheet'!$A$7:$K$16,8))</f>
      </c>
      <c r="I13" s="42">
        <f>IF('1_Power Consumption Sheet'!$I13="","",VLOOKUP($A13,'1_Power Consumption Sheet'!$A$7:$K$16,9))</f>
      </c>
      <c r="J13" s="42">
        <f>IF('1_Power Consumption Sheet'!$J13="","",VLOOKUP($A13,'1_Power Consumption Sheet'!$A$7:$K$16,10))</f>
      </c>
      <c r="K13" s="42">
        <f>IF('1_Power Consumption Sheet'!$K13="","",VLOOKUP($A13,'1_Power Consumption Sheet'!$A$7:$K$16,11))</f>
      </c>
    </row>
    <row r="14" spans="1:11" ht="13.5">
      <c r="A14" s="8">
        <v>8</v>
      </c>
      <c r="B14" s="42">
        <f>IF('1_Power Consumption Sheet'!$B14="","",VLOOKUP($A14,'1_Power Consumption Sheet'!$A$7:$K$16,2))</f>
      </c>
      <c r="C14" s="59">
        <f>IF('1_Power Consumption Sheet'!$C14="","",VLOOKUP($A14,'1_Power Consumption Sheet'!$A$7:$K$16,3))</f>
      </c>
      <c r="D14" s="42">
        <f>IF('1_Power Consumption Sheet'!$D14="","",VLOOKUP($A14,'1_Power Consumption Sheet'!$A$7:$K$16,4))</f>
      </c>
      <c r="E14" s="42">
        <f>IF('1_Power Consumption Sheet'!$E14="","",VLOOKUP($A14,'1_Power Consumption Sheet'!$A$7:$K$16,5))</f>
      </c>
      <c r="F14" s="10">
        <f t="shared" si="0"/>
      </c>
      <c r="G14" s="41">
        <f>IF('1_Power Consumption Sheet'!$G14="","",VLOOKUP($A14,'1_Power Consumption Sheet'!$A$7:$K$16,7))</f>
      </c>
      <c r="H14" s="42">
        <f>IF('1_Power Consumption Sheet'!$H14="","",VLOOKUP($A14,'1_Power Consumption Sheet'!$A$7:$K$16,8))</f>
      </c>
      <c r="I14" s="42">
        <f>IF('1_Power Consumption Sheet'!$I14="","",VLOOKUP($A14,'1_Power Consumption Sheet'!$A$7:$K$16,9))</f>
      </c>
      <c r="J14" s="42">
        <f>IF('1_Power Consumption Sheet'!$J14="","",VLOOKUP($A14,'1_Power Consumption Sheet'!$A$7:$K$16,10))</f>
      </c>
      <c r="K14" s="42">
        <f>IF('1_Power Consumption Sheet'!$K14="","",VLOOKUP($A14,'1_Power Consumption Sheet'!$A$7:$K$16,11))</f>
      </c>
    </row>
    <row r="15" spans="1:11" ht="13.5">
      <c r="A15" s="8">
        <v>9</v>
      </c>
      <c r="B15" s="42">
        <f>IF('1_Power Consumption Sheet'!$B15="","",VLOOKUP($A15,'1_Power Consumption Sheet'!$A$7:$K$16,2))</f>
      </c>
      <c r="C15" s="59">
        <f>IF('1_Power Consumption Sheet'!$C15="","",VLOOKUP($A15,'1_Power Consumption Sheet'!$A$7:$K$16,3))</f>
      </c>
      <c r="D15" s="42">
        <f>IF('1_Power Consumption Sheet'!$D15="","",VLOOKUP($A15,'1_Power Consumption Sheet'!$A$7:$K$16,4))</f>
      </c>
      <c r="E15" s="42">
        <f>IF('1_Power Consumption Sheet'!$E15="","",VLOOKUP($A15,'1_Power Consumption Sheet'!$A$7:$K$16,5))</f>
      </c>
      <c r="F15" s="10">
        <f t="shared" si="0"/>
      </c>
      <c r="G15" s="41">
        <f>IF('1_Power Consumption Sheet'!$G15="","",VLOOKUP($A15,'1_Power Consumption Sheet'!$A$7:$K$16,7))</f>
      </c>
      <c r="H15" s="42">
        <f>IF('1_Power Consumption Sheet'!$H15="","",VLOOKUP($A15,'1_Power Consumption Sheet'!$A$7:$K$16,8))</f>
      </c>
      <c r="I15" s="42">
        <f>IF('1_Power Consumption Sheet'!$I15="","",VLOOKUP($A15,'1_Power Consumption Sheet'!$A$7:$K$16,9))</f>
      </c>
      <c r="J15" s="42">
        <f>IF('1_Power Consumption Sheet'!$J15="","",VLOOKUP($A15,'1_Power Consumption Sheet'!$A$7:$K$16,10))</f>
      </c>
      <c r="K15" s="42">
        <f>IF('1_Power Consumption Sheet'!$K15="","",VLOOKUP($A15,'1_Power Consumption Sheet'!$A$7:$K$16,11))</f>
      </c>
    </row>
    <row r="16" spans="1:11" ht="13.5">
      <c r="A16" s="8">
        <v>10</v>
      </c>
      <c r="B16" s="42">
        <f>IF('1_Power Consumption Sheet'!$B16="","",VLOOKUP($A16,'1_Power Consumption Sheet'!$A$7:$K$16,2))</f>
      </c>
      <c r="C16" s="59">
        <f>IF('1_Power Consumption Sheet'!$C16="","",VLOOKUP($A16,'1_Power Consumption Sheet'!$A$7:$K$16,3))</f>
      </c>
      <c r="D16" s="42">
        <f>IF('1_Power Consumption Sheet'!$D16="","",VLOOKUP($A16,'1_Power Consumption Sheet'!$A$7:$K$16,4))</f>
      </c>
      <c r="E16" s="42">
        <f>IF('1_Power Consumption Sheet'!$E16="","",VLOOKUP($A16,'1_Power Consumption Sheet'!$A$7:$K$16,5))</f>
      </c>
      <c r="F16" s="10">
        <f t="shared" si="0"/>
      </c>
      <c r="G16" s="41">
        <f>IF('1_Power Consumption Sheet'!$G16="","",VLOOKUP($A16,'1_Power Consumption Sheet'!$A$7:$K$16,7))</f>
      </c>
      <c r="H16" s="42">
        <f>IF('1_Power Consumption Sheet'!$H16="","",VLOOKUP($A16,'1_Power Consumption Sheet'!$A$7:$K$16,8))</f>
      </c>
      <c r="I16" s="42">
        <f>IF('1_Power Consumption Sheet'!$I16="","",VLOOKUP($A16,'1_Power Consumption Sheet'!$A$7:$K$16,9))</f>
      </c>
      <c r="J16" s="42">
        <f>IF('1_Power Consumption Sheet'!$J16="","",VLOOKUP($A16,'1_Power Consumption Sheet'!$A$7:$K$16,10))</f>
      </c>
      <c r="K16" s="42">
        <f>IF('1_Power Consumption Sheet'!$K16="","",VLOOKUP($A16,'1_Power Consumption Sheet'!$A$7:$K$16,11))</f>
      </c>
    </row>
    <row r="18" ht="13.5">
      <c r="A18" s="7" t="s">
        <v>88</v>
      </c>
    </row>
    <row r="19" spans="1:8" ht="13.5">
      <c r="A19" s="3" t="s">
        <v>2</v>
      </c>
      <c r="B19" s="3" t="s">
        <v>30</v>
      </c>
      <c r="C19" s="3" t="s">
        <v>3</v>
      </c>
      <c r="D19" s="3" t="s">
        <v>4</v>
      </c>
      <c r="E19" s="3" t="s">
        <v>38</v>
      </c>
      <c r="F19" s="3" t="s">
        <v>5</v>
      </c>
      <c r="G19" s="3" t="s">
        <v>8</v>
      </c>
      <c r="H19" s="3" t="s">
        <v>10</v>
      </c>
    </row>
    <row r="20" spans="1:11" ht="13.5">
      <c r="A20" s="8">
        <v>1</v>
      </c>
      <c r="B20" s="42" t="str">
        <f>IF('1_Power Consumption Sheet'!$B21="","",VLOOKUP($A20,'1_Power Consumption Sheet'!$A$21:$K$30,2))</f>
        <v>YAMAHA</v>
      </c>
      <c r="C20" s="59" t="str">
        <f>IF('1_Power Consumption Sheet'!$C21="","",VLOOKUP($A20,'1_Power Consumption Sheet'!$A$21:$K$30,3))</f>
        <v>S215V</v>
      </c>
      <c r="D20" s="42">
        <f>IF('1_Power Consumption Sheet'!$D21="","",VLOOKUP($A20,'1_Power Consumption Sheet'!$A$21:$K$30,4))</f>
        <v>2</v>
      </c>
      <c r="E20" s="42">
        <f>IF('1_Power Consumption Sheet'!$E21="","",VLOOKUP($A20,'1_Power Consumption Sheet'!$A$21:$K$30,5))</f>
        <v>0</v>
      </c>
      <c r="F20" s="10">
        <f>IF(ISNUMBER($D20)=TRUE,IF(ISNUMBER($E20)=TRUE,$D20-$E20-COUNTIF($F$62:$F$63,$A20)-COUNTIF($F$87:$F$88,$A20)-COUNTIF($F$112:$F$113,$A20)-COUNTIF($F$137:$F$138,$A20)-COUNTIF($F$162:$F$163,$A20)-COUNTIF($B$62:$B$63,$A20)-COUNTIF($B$87:$B$88,$A20)-COUNTIF($B$112:$B$113,$A20)-COUNTIF($B$137:$B$138,$A20)-COUNTIF($B$162:$B$163,$A20),""),"")</f>
        <v>2</v>
      </c>
      <c r="G20" s="42">
        <f>IF('1_Power Consumption Sheet'!$G21="","",VLOOKUP($A20,'1_Power Consumption Sheet'!$A$21:$K$30,7))</f>
        <v>1000</v>
      </c>
      <c r="H20" s="42">
        <f>IF('1_Power Consumption Sheet'!$H21="","",VLOOKUP($A20,'1_Power Consumption Sheet'!$A$21:$K$30,8))</f>
        <v>4</v>
      </c>
      <c r="J20" s="4"/>
      <c r="K20" s="4"/>
    </row>
    <row r="21" spans="1:11" ht="13.5">
      <c r="A21" s="8">
        <v>2</v>
      </c>
      <c r="B21" s="42" t="str">
        <f>IF('1_Power Consumption Sheet'!$B22="","",VLOOKUP($A21,'1_Power Consumption Sheet'!$A$21:$K$30,2))</f>
        <v>YAMAHA</v>
      </c>
      <c r="C21" s="59" t="str">
        <f>IF('1_Power Consumption Sheet'!$C22="","",VLOOKUP($A21,'1_Power Consumption Sheet'!$A$21:$K$30,3))</f>
        <v>WF115</v>
      </c>
      <c r="D21" s="42">
        <f>IF('1_Power Consumption Sheet'!$D22="","",VLOOKUP($A21,'1_Power Consumption Sheet'!$A$21:$K$30,4))</f>
        <v>2</v>
      </c>
      <c r="E21" s="42">
        <f>IF('1_Power Consumption Sheet'!$E22="","",VLOOKUP($A21,'1_Power Consumption Sheet'!$A$21:$K$30,5))</f>
        <v>0</v>
      </c>
      <c r="F21" s="10">
        <f aca="true" t="shared" si="1" ref="F21:F29">IF(ISNUMBER($D21)=TRUE,IF(ISNUMBER($E21)=TRUE,$D21-$E21-COUNTIF($F$62:$F$63,$A21)-COUNTIF($F$87:$F$88,$A21)-COUNTIF($F$112:$F$113,$A21)-COUNTIF($F$137:$F$138,$A21)-COUNTIF($F$162:$F$163,$A21)-COUNTIF($B$62:$B$63,$A21)-COUNTIF($B$87:$B$88,$A21)-COUNTIF($B$112:$B$113,$A21)-COUNTIF($B$137:$B$138,$A21)-COUNTIF($B$162:$B$163,$A21),""),"")</f>
        <v>2</v>
      </c>
      <c r="G21" s="42">
        <f>IF('1_Power Consumption Sheet'!$G22="","",VLOOKUP($A21,'1_Power Consumption Sheet'!$A$21:$K$30,7))</f>
        <v>400</v>
      </c>
      <c r="H21" s="42">
        <f>IF('1_Power Consumption Sheet'!$H22="","",VLOOKUP($A21,'1_Power Consumption Sheet'!$A$21:$K$30,8))</f>
        <v>8</v>
      </c>
      <c r="J21" s="4"/>
      <c r="K21" s="4"/>
    </row>
    <row r="22" spans="1:11" ht="13.5">
      <c r="A22" s="8">
        <v>3</v>
      </c>
      <c r="B22" s="42" t="str">
        <f>IF('1_Power Consumption Sheet'!$B23="","",VLOOKUP($A22,'1_Power Consumption Sheet'!$A$21:$K$30,2))</f>
        <v>Electro Voice</v>
      </c>
      <c r="C22" s="59" t="str">
        <f>IF('1_Power Consumption Sheet'!$C23="","",VLOOKUP($A22,'1_Power Consumption Sheet'!$A$21:$K$30,3))</f>
        <v>Sx300</v>
      </c>
      <c r="D22" s="42">
        <f>IF('1_Power Consumption Sheet'!$D23="","",VLOOKUP($A22,'1_Power Consumption Sheet'!$A$21:$K$30,4))</f>
        <v>2</v>
      </c>
      <c r="E22" s="42">
        <f>IF('1_Power Consumption Sheet'!$E23="","",VLOOKUP($A22,'1_Power Consumption Sheet'!$A$21:$K$30,5))</f>
        <v>0</v>
      </c>
      <c r="F22" s="10">
        <f t="shared" si="1"/>
        <v>2</v>
      </c>
      <c r="G22" s="42">
        <f>IF('1_Power Consumption Sheet'!$G23="","",VLOOKUP($A22,'1_Power Consumption Sheet'!$A$21:$K$30,7))</f>
        <v>300</v>
      </c>
      <c r="H22" s="42">
        <f>IF('1_Power Consumption Sheet'!$H23="","",VLOOKUP($A22,'1_Power Consumption Sheet'!$A$21:$K$30,8))</f>
        <v>8</v>
      </c>
      <c r="J22" s="4"/>
      <c r="K22" s="4"/>
    </row>
    <row r="23" spans="1:11" ht="13.5">
      <c r="A23" s="8">
        <v>4</v>
      </c>
      <c r="B23" s="42" t="str">
        <f>IF('1_Power Consumption Sheet'!$B24="","",VLOOKUP($A23,'1_Power Consumption Sheet'!$A$21:$K$30,2))</f>
        <v>YAMAHA</v>
      </c>
      <c r="C23" s="59" t="str">
        <f>IF('1_Power Consumption Sheet'!$C24="","",VLOOKUP($A23,'1_Power Consumption Sheet'!$A$21:$K$30,3))</f>
        <v>SM15IV</v>
      </c>
      <c r="D23" s="42">
        <f>IF('1_Power Consumption Sheet'!$D24="","",VLOOKUP($A23,'1_Power Consumption Sheet'!$A$21:$K$30,4))</f>
        <v>2</v>
      </c>
      <c r="E23" s="42">
        <f>IF('1_Power Consumption Sheet'!$E24="","",VLOOKUP($A23,'1_Power Consumption Sheet'!$A$21:$K$30,5))</f>
        <v>0</v>
      </c>
      <c r="F23" s="10">
        <f t="shared" si="1"/>
        <v>2</v>
      </c>
      <c r="G23" s="42">
        <f>IF('1_Power Consumption Sheet'!$G24="","",VLOOKUP($A23,'1_Power Consumption Sheet'!$A$21:$K$30,7))</f>
        <v>500</v>
      </c>
      <c r="H23" s="42">
        <f>IF('1_Power Consumption Sheet'!$H24="","",VLOOKUP($A23,'1_Power Consumption Sheet'!$A$21:$K$30,8))</f>
        <v>8</v>
      </c>
      <c r="J23" s="4"/>
      <c r="K23" s="4"/>
    </row>
    <row r="24" spans="1:11" ht="13.5">
      <c r="A24" s="8">
        <v>5</v>
      </c>
      <c r="B24" s="42" t="str">
        <f>IF('1_Power Consumption Sheet'!$B25="","",VLOOKUP($A24,'1_Power Consumption Sheet'!$A$21:$K$30,2))</f>
        <v>Electro Voice</v>
      </c>
      <c r="C24" s="59" t="str">
        <f>IF('1_Power Consumption Sheet'!$C25="","",VLOOKUP($A24,'1_Power Consumption Sheet'!$A$21:$K$30,3))</f>
        <v>Eliminator-Monitor</v>
      </c>
      <c r="D24" s="42">
        <f>IF('1_Power Consumption Sheet'!$D25="","",VLOOKUP($A24,'1_Power Consumption Sheet'!$A$21:$K$30,4))</f>
        <v>4</v>
      </c>
      <c r="E24" s="42">
        <f>IF('1_Power Consumption Sheet'!$E25="","",VLOOKUP($A24,'1_Power Consumption Sheet'!$A$21:$K$30,5))</f>
        <v>0</v>
      </c>
      <c r="F24" s="10">
        <f t="shared" si="1"/>
        <v>4</v>
      </c>
      <c r="G24" s="42">
        <f>IF('1_Power Consumption Sheet'!$G25="","",VLOOKUP($A24,'1_Power Consumption Sheet'!$A$21:$K$30,7))</f>
        <v>300</v>
      </c>
      <c r="H24" s="42">
        <f>IF('1_Power Consumption Sheet'!$H25="","",VLOOKUP($A24,'1_Power Consumption Sheet'!$A$21:$K$30,8))</f>
        <v>8</v>
      </c>
      <c r="J24" s="4"/>
      <c r="K24" s="4"/>
    </row>
    <row r="25" spans="1:11" ht="13.5">
      <c r="A25" s="8">
        <v>6</v>
      </c>
      <c r="B25" s="42" t="str">
        <f>IF('1_Power Consumption Sheet'!$B26="","",VLOOKUP($A25,'1_Power Consumption Sheet'!$A$21:$K$30,2))</f>
        <v>YAMAHA</v>
      </c>
      <c r="C25" s="59" t="str">
        <f>IF('1_Power Consumption Sheet'!$C26="","",VLOOKUP($A25,'1_Power Consumption Sheet'!$A$21:$K$30,3))</f>
        <v>SM12V</v>
      </c>
      <c r="D25" s="42">
        <f>IF('1_Power Consumption Sheet'!$D26="","",VLOOKUP($A25,'1_Power Consumption Sheet'!$A$21:$K$30,4))</f>
        <v>2</v>
      </c>
      <c r="E25" s="42">
        <f>IF('1_Power Consumption Sheet'!$E26="","",VLOOKUP($A25,'1_Power Consumption Sheet'!$A$21:$K$30,5))</f>
        <v>0</v>
      </c>
      <c r="F25" s="10">
        <f t="shared" si="1"/>
        <v>2</v>
      </c>
      <c r="G25" s="42">
        <f>IF('1_Power Consumption Sheet'!$G26="","",VLOOKUP($A25,'1_Power Consumption Sheet'!$A$21:$K$30,7))</f>
        <v>350</v>
      </c>
      <c r="H25" s="42">
        <f>IF('1_Power Consumption Sheet'!$H26="","",VLOOKUP($A25,'1_Power Consumption Sheet'!$A$21:$K$30,8))</f>
        <v>8</v>
      </c>
      <c r="J25" s="4"/>
      <c r="K25" s="4"/>
    </row>
    <row r="26" spans="1:11" ht="13.5">
      <c r="A26" s="8">
        <v>7</v>
      </c>
      <c r="B26" s="42" t="str">
        <f>IF('1_Power Consumption Sheet'!$B27="","",VLOOKUP($A26,'1_Power Consumption Sheet'!$A$21:$K$30,2))</f>
        <v>YAMAHA</v>
      </c>
      <c r="C26" s="59" t="str">
        <f>IF('1_Power Consumption Sheet'!$C27="","",VLOOKUP($A26,'1_Power Consumption Sheet'!$A$21:$K$30,3))</f>
        <v>SM12H-II</v>
      </c>
      <c r="D26" s="42">
        <f>IF('1_Power Consumption Sheet'!$D27="","",VLOOKUP($A26,'1_Power Consumption Sheet'!$A$21:$K$30,4))</f>
        <v>2</v>
      </c>
      <c r="E26" s="42">
        <f>IF('1_Power Consumption Sheet'!$E27="","",VLOOKUP($A26,'1_Power Consumption Sheet'!$A$21:$K$30,5))</f>
        <v>0</v>
      </c>
      <c r="F26" s="10">
        <f t="shared" si="1"/>
        <v>2</v>
      </c>
      <c r="G26" s="42">
        <f>IF('1_Power Consumption Sheet'!$G27="","",VLOOKUP($A26,'1_Power Consumption Sheet'!$A$21:$K$30,7))</f>
        <v>200</v>
      </c>
      <c r="H26" s="42">
        <f>IF('1_Power Consumption Sheet'!$H27="","",VLOOKUP($A26,'1_Power Consumption Sheet'!$A$21:$K$30,8))</f>
        <v>8</v>
      </c>
      <c r="J26" s="4"/>
      <c r="K26" s="4"/>
    </row>
    <row r="27" spans="1:11" ht="13.5">
      <c r="A27" s="8">
        <v>8</v>
      </c>
      <c r="B27" s="42" t="str">
        <f>IF('1_Power Consumption Sheet'!$B28="","",VLOOKUP($A27,'1_Power Consumption Sheet'!$A$21:$K$30,2))</f>
        <v>YAMAHA</v>
      </c>
      <c r="C27" s="59" t="str">
        <f>IF('1_Power Consumption Sheet'!$C28="","",VLOOKUP($A27,'1_Power Consumption Sheet'!$A$21:$K$30,3))</f>
        <v>S200</v>
      </c>
      <c r="D27" s="42">
        <f>IF('1_Power Consumption Sheet'!$D28="","",VLOOKUP($A27,'1_Power Consumption Sheet'!$A$21:$K$30,4))</f>
        <v>2</v>
      </c>
      <c r="E27" s="42">
        <f>IF('1_Power Consumption Sheet'!$E28="","",VLOOKUP($A27,'1_Power Consumption Sheet'!$A$21:$K$30,5))</f>
        <v>2</v>
      </c>
      <c r="F27" s="10">
        <f t="shared" si="1"/>
        <v>0</v>
      </c>
      <c r="G27" s="42">
        <f>IF('1_Power Consumption Sheet'!$G28="","",VLOOKUP($A27,'1_Power Consumption Sheet'!$A$21:$K$30,7))</f>
        <v>200</v>
      </c>
      <c r="H27" s="42">
        <f>IF('1_Power Consumption Sheet'!$H28="","",VLOOKUP($A27,'1_Power Consumption Sheet'!$A$21:$K$30,8))</f>
        <v>8</v>
      </c>
      <c r="J27" s="4"/>
      <c r="K27" s="4"/>
    </row>
    <row r="28" spans="1:11" ht="13.5">
      <c r="A28" s="8">
        <v>9</v>
      </c>
      <c r="B28" s="42" t="str">
        <f>IF('1_Power Consumption Sheet'!$B29="","",VLOOKUP($A28,'1_Power Consumption Sheet'!$A$21:$K$30,2))</f>
        <v>BOSE</v>
      </c>
      <c r="C28" s="59" t="str">
        <f>IF('1_Power Consumption Sheet'!$C29="","",VLOOKUP($A28,'1_Power Consumption Sheet'!$A$21:$K$30,3))</f>
        <v>101MM</v>
      </c>
      <c r="D28" s="42">
        <f>IF('1_Power Consumption Sheet'!$D29="","",VLOOKUP($A28,'1_Power Consumption Sheet'!$A$21:$K$30,4))</f>
        <v>2</v>
      </c>
      <c r="E28" s="42">
        <f>IF('1_Power Consumption Sheet'!$E29="","",VLOOKUP($A28,'1_Power Consumption Sheet'!$A$21:$K$30,5))</f>
        <v>1</v>
      </c>
      <c r="F28" s="10">
        <f t="shared" si="1"/>
        <v>1</v>
      </c>
      <c r="G28" s="42">
        <f>IF('1_Power Consumption Sheet'!$G29="","",VLOOKUP($A28,'1_Power Consumption Sheet'!$A$21:$K$30,7))</f>
        <v>45</v>
      </c>
      <c r="H28" s="42">
        <f>IF('1_Power Consumption Sheet'!$H29="","",VLOOKUP($A28,'1_Power Consumption Sheet'!$A$21:$K$30,8))</f>
        <v>6</v>
      </c>
      <c r="J28" s="9"/>
      <c r="K28" s="9"/>
    </row>
    <row r="29" spans="1:11" ht="13.5">
      <c r="A29" s="8">
        <v>10</v>
      </c>
      <c r="B29" s="42">
        <f>IF('1_Power Consumption Sheet'!$B30="","",VLOOKUP($A29,'1_Power Consumption Sheet'!$A$21:$K$30,2))</f>
      </c>
      <c r="C29" s="59">
        <f>IF('1_Power Consumption Sheet'!$C30="","",VLOOKUP($A29,'1_Power Consumption Sheet'!$A$21:$K$30,3))</f>
      </c>
      <c r="D29" s="42">
        <f>IF('1_Power Consumption Sheet'!$D30="","",VLOOKUP($A29,'1_Power Consumption Sheet'!$A$21:$K$30,4))</f>
      </c>
      <c r="E29" s="42">
        <f>IF('1_Power Consumption Sheet'!$E30="","",VLOOKUP($A29,'1_Power Consumption Sheet'!$A$21:$K$30,5))</f>
      </c>
      <c r="F29" s="10">
        <f t="shared" si="1"/>
      </c>
      <c r="G29" s="42">
        <f>IF('1_Power Consumption Sheet'!$G30="","",VLOOKUP($A29,'1_Power Consumption Sheet'!$A$21:$K$30,7))</f>
      </c>
      <c r="H29" s="42">
        <f>IF('1_Power Consumption Sheet'!$H30="","",VLOOKUP($A29,'1_Power Consumption Sheet'!$A$21:$K$30,8))</f>
      </c>
      <c r="J29" s="9"/>
      <c r="K29" s="9"/>
    </row>
    <row r="31" ht="13.5">
      <c r="A31" s="7" t="s">
        <v>37</v>
      </c>
    </row>
    <row r="32" spans="1:22" ht="13.5">
      <c r="A32" s="3"/>
      <c r="B32" s="11" t="s">
        <v>1</v>
      </c>
      <c r="C32" s="13"/>
      <c r="D32" s="13"/>
      <c r="E32" s="13"/>
      <c r="F32" s="13"/>
      <c r="G32" s="13"/>
      <c r="H32" s="12"/>
      <c r="I32" s="11" t="s">
        <v>39</v>
      </c>
      <c r="J32" s="13"/>
      <c r="K32" s="13"/>
      <c r="L32" s="13"/>
      <c r="M32" s="11" t="s">
        <v>40</v>
      </c>
      <c r="N32" s="13"/>
      <c r="O32" s="13"/>
      <c r="P32" s="12"/>
      <c r="U32"/>
      <c r="V32"/>
    </row>
    <row r="33" spans="1:22" ht="13.5">
      <c r="A33" s="3" t="s">
        <v>2</v>
      </c>
      <c r="B33" s="44" t="s">
        <v>128</v>
      </c>
      <c r="C33" s="44" t="s">
        <v>129</v>
      </c>
      <c r="D33" s="3" t="s">
        <v>3</v>
      </c>
      <c r="E33" s="21" t="s">
        <v>6</v>
      </c>
      <c r="F33" s="3" t="s">
        <v>36</v>
      </c>
      <c r="G33" s="3" t="s">
        <v>35</v>
      </c>
      <c r="H33" s="3" t="s">
        <v>7</v>
      </c>
      <c r="I33" s="44" t="s">
        <v>11</v>
      </c>
      <c r="J33" s="3" t="s">
        <v>3</v>
      </c>
      <c r="K33" s="3" t="s">
        <v>8</v>
      </c>
      <c r="L33" s="3" t="s">
        <v>10</v>
      </c>
      <c r="M33" s="44" t="s">
        <v>11</v>
      </c>
      <c r="N33" s="3" t="s">
        <v>3</v>
      </c>
      <c r="O33" s="3" t="s">
        <v>8</v>
      </c>
      <c r="P33" s="3" t="s">
        <v>10</v>
      </c>
      <c r="U33"/>
      <c r="V33"/>
    </row>
    <row r="34" spans="1:22" ht="13.5">
      <c r="A34" s="35">
        <v>1</v>
      </c>
      <c r="B34" s="48">
        <f>IF('1_Power Consumption Sheet'!$B35="","",VLOOKUP($A34,'1_Power Consumption Sheet'!$A$34:$P$44,2))</f>
      </c>
      <c r="C34" s="48">
        <f>IF('1_Power Consumption Sheet'!$C35="","",VLOOKUP($A34,'1_Power Consumption Sheet'!$A$34:$P$44,3))</f>
      </c>
      <c r="D34" s="54">
        <f aca="true" t="shared" si="2" ref="D34:D43">IF($B34="","",VLOOKUP($B34,$A$7:$K$16,3))</f>
      </c>
      <c r="E34" s="49">
        <f aca="true" t="shared" si="3" ref="E34:E43">IF($B34="","",VLOOKUP($B34,$A$7:$K$16,7))</f>
      </c>
      <c r="F34" s="50">
        <f aca="true" t="shared" si="4" ref="F34:F43">IF($B34="","",IF($I34="","-",INDEX($B$7:$K$16,$B34,IF($L34=8,7,IF($L34=4,8,"-")))))</f>
      </c>
      <c r="G34" s="50">
        <f aca="true" t="shared" si="5" ref="G34:G43">IF($B34="","",IF($M34="","-",INDEX($B$7:$K$16,$B34,IF($P34=8,7,IF($P34=4,8,"-")))))</f>
      </c>
      <c r="H34" s="51">
        <f aca="true" t="shared" si="6" ref="H34:H43">IF($B34="","",VLOOKUP($B34,$A$7:$K$16,11))</f>
      </c>
      <c r="I34" s="48">
        <f>IF('1_Power Consumption Sheet'!$I35="","",VLOOKUP($A34,'1_Power Consumption Sheet'!$A$34:$P$44,9))</f>
      </c>
      <c r="J34" s="54">
        <f aca="true" t="shared" si="7" ref="J34:J43">IF($I34="","",VLOOKUP($I34,$A$20:$H$29,3))</f>
      </c>
      <c r="K34" s="50">
        <f aca="true" t="shared" si="8" ref="K34:K43">IF($I34="","",VLOOKUP($I34,$A$20:$H$29,7))</f>
      </c>
      <c r="L34" s="50">
        <f aca="true" t="shared" si="9" ref="L34:L43">IF($I34="","",VLOOKUP($I34,$A$20:$H$29,8))</f>
      </c>
      <c r="M34" s="48">
        <f>IF('1_Power Consumption Sheet'!$M35="","",VLOOKUP($A34,'1_Power Consumption Sheet'!$A$34:$P$44,13))</f>
      </c>
      <c r="N34" s="55">
        <f aca="true" t="shared" si="10" ref="N34:N43">IF($M34="","",IF($H34&lt;2,"-",VLOOKUP($M34,$A$20:$H$29,3)))</f>
      </c>
      <c r="O34" s="5">
        <f aca="true" t="shared" si="11" ref="O34:O43">IF($M34="","",IF($H34&lt;2,"-",VLOOKUP($M34,$A$20:$H$29,7)))</f>
      </c>
      <c r="P34" s="5">
        <f aca="true" t="shared" si="12" ref="P34:P43">IF($M34="","",IF($H34&lt;2,"-",VLOOKUP($M34,$A$20:$H$29,8)))</f>
      </c>
      <c r="U34"/>
      <c r="V34"/>
    </row>
    <row r="35" spans="1:22" ht="13.5">
      <c r="A35" s="35">
        <v>2</v>
      </c>
      <c r="B35" s="52">
        <f>IF('1_Power Consumption Sheet'!$B36="","",VLOOKUP($A35,'1_Power Consumption Sheet'!$A$34:$P$44,2))</f>
      </c>
      <c r="C35" s="52">
        <f>IF('1_Power Consumption Sheet'!$C36="","",VLOOKUP($A35,'1_Power Consumption Sheet'!$A$34:$P$44,3))</f>
      </c>
      <c r="D35" s="54">
        <f t="shared" si="2"/>
      </c>
      <c r="E35" s="49">
        <f t="shared" si="3"/>
      </c>
      <c r="F35" s="50">
        <f t="shared" si="4"/>
      </c>
      <c r="G35" s="50">
        <f t="shared" si="5"/>
      </c>
      <c r="H35" s="51">
        <f t="shared" si="6"/>
      </c>
      <c r="I35" s="52">
        <f>IF('1_Power Consumption Sheet'!$I36="","",VLOOKUP($A35,'1_Power Consumption Sheet'!$A$34:$P$44,9))</f>
      </c>
      <c r="J35" s="54">
        <f t="shared" si="7"/>
      </c>
      <c r="K35" s="50">
        <f t="shared" si="8"/>
      </c>
      <c r="L35" s="50">
        <f t="shared" si="9"/>
      </c>
      <c r="M35" s="52">
        <f>IF('1_Power Consumption Sheet'!$M36="","",VLOOKUP($A35,'1_Power Consumption Sheet'!$A$34:$P$44,13))</f>
      </c>
      <c r="N35" s="55">
        <f t="shared" si="10"/>
      </c>
      <c r="O35" s="5">
        <f t="shared" si="11"/>
      </c>
      <c r="P35" s="5">
        <f t="shared" si="12"/>
      </c>
      <c r="U35"/>
      <c r="V35"/>
    </row>
    <row r="36" spans="1:22" ht="13.5">
      <c r="A36" s="35">
        <v>3</v>
      </c>
      <c r="B36" s="52">
        <f>IF('1_Power Consumption Sheet'!$B37="","",VLOOKUP($A36,'1_Power Consumption Sheet'!$A$34:$P$44,2))</f>
      </c>
      <c r="C36" s="52">
        <f>IF('1_Power Consumption Sheet'!$C37="","",VLOOKUP($A36,'1_Power Consumption Sheet'!$A$34:$P$44,3))</f>
      </c>
      <c r="D36" s="54">
        <f t="shared" si="2"/>
      </c>
      <c r="E36" s="49">
        <f t="shared" si="3"/>
      </c>
      <c r="F36" s="50">
        <f t="shared" si="4"/>
      </c>
      <c r="G36" s="50">
        <f t="shared" si="5"/>
      </c>
      <c r="H36" s="51">
        <f t="shared" si="6"/>
      </c>
      <c r="I36" s="52">
        <f>IF('1_Power Consumption Sheet'!$I37="","",VLOOKUP($A36,'1_Power Consumption Sheet'!$A$34:$P$44,9))</f>
      </c>
      <c r="J36" s="54">
        <f t="shared" si="7"/>
      </c>
      <c r="K36" s="50">
        <f t="shared" si="8"/>
      </c>
      <c r="L36" s="50">
        <f t="shared" si="9"/>
      </c>
      <c r="M36" s="52">
        <f>IF('1_Power Consumption Sheet'!$M37="","",VLOOKUP($A36,'1_Power Consumption Sheet'!$A$34:$P$44,13))</f>
      </c>
      <c r="N36" s="55">
        <f t="shared" si="10"/>
      </c>
      <c r="O36" s="5">
        <f t="shared" si="11"/>
      </c>
      <c r="P36" s="5">
        <f t="shared" si="12"/>
      </c>
      <c r="U36"/>
      <c r="V36"/>
    </row>
    <row r="37" spans="1:22" ht="13.5">
      <c r="A37" s="35">
        <v>4</v>
      </c>
      <c r="B37" s="52">
        <f>IF('1_Power Consumption Sheet'!$B38="","",VLOOKUP($A37,'1_Power Consumption Sheet'!$A$34:$P$44,2))</f>
      </c>
      <c r="C37" s="52">
        <f>IF('1_Power Consumption Sheet'!$C38="","",VLOOKUP($A37,'1_Power Consumption Sheet'!$A$34:$P$44,3))</f>
      </c>
      <c r="D37" s="54">
        <f t="shared" si="2"/>
      </c>
      <c r="E37" s="49">
        <f t="shared" si="3"/>
      </c>
      <c r="F37" s="50">
        <f t="shared" si="4"/>
      </c>
      <c r="G37" s="50">
        <f t="shared" si="5"/>
      </c>
      <c r="H37" s="51">
        <f t="shared" si="6"/>
      </c>
      <c r="I37" s="52">
        <f>IF('1_Power Consumption Sheet'!$I38="","",VLOOKUP($A37,'1_Power Consumption Sheet'!$A$34:$P$44,9))</f>
      </c>
      <c r="J37" s="54">
        <f t="shared" si="7"/>
      </c>
      <c r="K37" s="50">
        <f t="shared" si="8"/>
      </c>
      <c r="L37" s="50">
        <f t="shared" si="9"/>
      </c>
      <c r="M37" s="52">
        <f>IF('1_Power Consumption Sheet'!$M38="","",VLOOKUP($A37,'1_Power Consumption Sheet'!$A$34:$P$44,13))</f>
      </c>
      <c r="N37" s="55">
        <f t="shared" si="10"/>
      </c>
      <c r="O37" s="5">
        <f t="shared" si="11"/>
      </c>
      <c r="P37" s="5">
        <f t="shared" si="12"/>
      </c>
      <c r="U37"/>
      <c r="V37"/>
    </row>
    <row r="38" spans="1:22" ht="13.5">
      <c r="A38" s="35">
        <v>5</v>
      </c>
      <c r="B38" s="52">
        <f>IF('1_Power Consumption Sheet'!$B39="","",VLOOKUP($A38,'1_Power Consumption Sheet'!$A$34:$P$44,2))</f>
      </c>
      <c r="C38" s="52">
        <f>IF('1_Power Consumption Sheet'!$C39="","",VLOOKUP($A38,'1_Power Consumption Sheet'!$A$34:$P$44,3))</f>
      </c>
      <c r="D38" s="54">
        <f t="shared" si="2"/>
      </c>
      <c r="E38" s="49">
        <f t="shared" si="3"/>
      </c>
      <c r="F38" s="50">
        <f t="shared" si="4"/>
      </c>
      <c r="G38" s="50">
        <f t="shared" si="5"/>
      </c>
      <c r="H38" s="51">
        <f t="shared" si="6"/>
      </c>
      <c r="I38" s="52">
        <f>IF('1_Power Consumption Sheet'!$I39="","",VLOOKUP($A38,'1_Power Consumption Sheet'!$A$34:$P$44,9))</f>
      </c>
      <c r="J38" s="54">
        <f t="shared" si="7"/>
      </c>
      <c r="K38" s="50">
        <f t="shared" si="8"/>
      </c>
      <c r="L38" s="50">
        <f t="shared" si="9"/>
      </c>
      <c r="M38" s="52">
        <f>IF('1_Power Consumption Sheet'!$M39="","",VLOOKUP($A38,'1_Power Consumption Sheet'!$A$34:$P$44,13))</f>
      </c>
      <c r="N38" s="55">
        <f t="shared" si="10"/>
      </c>
      <c r="O38" s="5">
        <f t="shared" si="11"/>
      </c>
      <c r="P38" s="5">
        <f t="shared" si="12"/>
      </c>
      <c r="U38"/>
      <c r="V38"/>
    </row>
    <row r="39" spans="1:22" ht="13.5">
      <c r="A39" s="35">
        <v>6</v>
      </c>
      <c r="B39" s="52">
        <f>IF('1_Power Consumption Sheet'!$B40="","",VLOOKUP($A39,'1_Power Consumption Sheet'!$A$34:$P$44,2))</f>
      </c>
      <c r="C39" s="52">
        <f>IF('1_Power Consumption Sheet'!$C40="","",VLOOKUP($A39,'1_Power Consumption Sheet'!$A$34:$P$44,3))</f>
      </c>
      <c r="D39" s="54">
        <f t="shared" si="2"/>
      </c>
      <c r="E39" s="49">
        <f t="shared" si="3"/>
      </c>
      <c r="F39" s="50">
        <f t="shared" si="4"/>
      </c>
      <c r="G39" s="50">
        <f t="shared" si="5"/>
      </c>
      <c r="H39" s="51">
        <f t="shared" si="6"/>
      </c>
      <c r="I39" s="52">
        <f>IF('1_Power Consumption Sheet'!$I40="","",VLOOKUP($A39,'1_Power Consumption Sheet'!$A$34:$P$44,9))</f>
      </c>
      <c r="J39" s="54">
        <f t="shared" si="7"/>
      </c>
      <c r="K39" s="50">
        <f t="shared" si="8"/>
      </c>
      <c r="L39" s="50">
        <f t="shared" si="9"/>
      </c>
      <c r="M39" s="52">
        <f>IF('1_Power Consumption Sheet'!$M40="","",VLOOKUP($A39,'1_Power Consumption Sheet'!$A$34:$P$44,13))</f>
      </c>
      <c r="N39" s="55">
        <f t="shared" si="10"/>
      </c>
      <c r="O39" s="5">
        <f t="shared" si="11"/>
      </c>
      <c r="P39" s="5">
        <f t="shared" si="12"/>
      </c>
      <c r="U39"/>
      <c r="V39"/>
    </row>
    <row r="40" spans="1:22" ht="13.5">
      <c r="A40" s="35">
        <v>7</v>
      </c>
      <c r="B40" s="52">
        <f>IF('1_Power Consumption Sheet'!$B41="","",VLOOKUP($A40,'1_Power Consumption Sheet'!$A$34:$P$44,2))</f>
      </c>
      <c r="C40" s="52">
        <f>IF('1_Power Consumption Sheet'!$C41="","",VLOOKUP($A40,'1_Power Consumption Sheet'!$A$34:$P$44,3))</f>
      </c>
      <c r="D40" s="54">
        <f t="shared" si="2"/>
      </c>
      <c r="E40" s="49">
        <f t="shared" si="3"/>
      </c>
      <c r="F40" s="50">
        <f t="shared" si="4"/>
      </c>
      <c r="G40" s="50">
        <f t="shared" si="5"/>
      </c>
      <c r="H40" s="51">
        <f t="shared" si="6"/>
      </c>
      <c r="I40" s="52">
        <f>IF('1_Power Consumption Sheet'!$I41="","",VLOOKUP($A40,'1_Power Consumption Sheet'!$A$34:$P$44,9))</f>
      </c>
      <c r="J40" s="54">
        <f t="shared" si="7"/>
      </c>
      <c r="K40" s="50">
        <f t="shared" si="8"/>
      </c>
      <c r="L40" s="50">
        <f t="shared" si="9"/>
      </c>
      <c r="M40" s="52">
        <f>IF('1_Power Consumption Sheet'!$M41="","",VLOOKUP($A40,'1_Power Consumption Sheet'!$A$34:$P$44,13))</f>
      </c>
      <c r="N40" s="55">
        <f t="shared" si="10"/>
      </c>
      <c r="O40" s="5">
        <f t="shared" si="11"/>
      </c>
      <c r="P40" s="5">
        <f t="shared" si="12"/>
      </c>
      <c r="U40"/>
      <c r="V40"/>
    </row>
    <row r="41" spans="1:22" ht="13.5">
      <c r="A41" s="35">
        <v>8</v>
      </c>
      <c r="B41" s="52">
        <f>IF('1_Power Consumption Sheet'!$B42="","",VLOOKUP($A41,'1_Power Consumption Sheet'!$A$34:$P$44,2))</f>
      </c>
      <c r="C41" s="52">
        <f>IF('1_Power Consumption Sheet'!$C42="","",VLOOKUP($A41,'1_Power Consumption Sheet'!$A$34:$P$44,3))</f>
      </c>
      <c r="D41" s="54">
        <f t="shared" si="2"/>
      </c>
      <c r="E41" s="49">
        <f t="shared" si="3"/>
      </c>
      <c r="F41" s="50">
        <f t="shared" si="4"/>
      </c>
      <c r="G41" s="50">
        <f t="shared" si="5"/>
      </c>
      <c r="H41" s="51">
        <f t="shared" si="6"/>
      </c>
      <c r="I41" s="52">
        <f>IF('1_Power Consumption Sheet'!$I42="","",VLOOKUP($A41,'1_Power Consumption Sheet'!$A$34:$P$44,9))</f>
      </c>
      <c r="J41" s="54">
        <f t="shared" si="7"/>
      </c>
      <c r="K41" s="50">
        <f t="shared" si="8"/>
      </c>
      <c r="L41" s="50">
        <f t="shared" si="9"/>
      </c>
      <c r="M41" s="52">
        <f>IF('1_Power Consumption Sheet'!$M42="","",VLOOKUP($A41,'1_Power Consumption Sheet'!$A$34:$P$44,13))</f>
      </c>
      <c r="N41" s="55">
        <f t="shared" si="10"/>
      </c>
      <c r="O41" s="5">
        <f t="shared" si="11"/>
      </c>
      <c r="P41" s="5">
        <f t="shared" si="12"/>
      </c>
      <c r="U41"/>
      <c r="V41"/>
    </row>
    <row r="42" spans="1:22" ht="13.5">
      <c r="A42" s="35">
        <v>9</v>
      </c>
      <c r="B42" s="52">
        <f>IF('1_Power Consumption Sheet'!$B43="","",VLOOKUP($A42,'1_Power Consumption Sheet'!$A$34:$P$44,2))</f>
      </c>
      <c r="C42" s="52">
        <f>IF('1_Power Consumption Sheet'!$C43="","",VLOOKUP($A42,'1_Power Consumption Sheet'!$A$34:$P$44,3))</f>
      </c>
      <c r="D42" s="54">
        <f t="shared" si="2"/>
      </c>
      <c r="E42" s="49">
        <f t="shared" si="3"/>
      </c>
      <c r="F42" s="50">
        <f t="shared" si="4"/>
      </c>
      <c r="G42" s="50">
        <f t="shared" si="5"/>
      </c>
      <c r="H42" s="51">
        <f t="shared" si="6"/>
      </c>
      <c r="I42" s="52">
        <f>IF('1_Power Consumption Sheet'!$I43="","",VLOOKUP($A42,'1_Power Consumption Sheet'!$A$34:$P$44,9))</f>
      </c>
      <c r="J42" s="54">
        <f t="shared" si="7"/>
      </c>
      <c r="K42" s="50">
        <f t="shared" si="8"/>
      </c>
      <c r="L42" s="50">
        <f t="shared" si="9"/>
      </c>
      <c r="M42" s="52">
        <f>IF('1_Power Consumption Sheet'!$M43="","",VLOOKUP($A42,'1_Power Consumption Sheet'!$A$34:$P$44,13))</f>
      </c>
      <c r="N42" s="55">
        <f t="shared" si="10"/>
      </c>
      <c r="O42" s="5">
        <f t="shared" si="11"/>
      </c>
      <c r="P42" s="5">
        <f t="shared" si="12"/>
      </c>
      <c r="U42"/>
      <c r="V42"/>
    </row>
    <row r="43" spans="1:22" ht="13.5">
      <c r="A43" s="35">
        <v>10</v>
      </c>
      <c r="B43" s="53">
        <f>IF('1_Power Consumption Sheet'!$B44="","",VLOOKUP($A43,'1_Power Consumption Sheet'!$A$34:$P$44,2))</f>
      </c>
      <c r="C43" s="53">
        <f>IF('1_Power Consumption Sheet'!$C44="","",VLOOKUP($A43,'1_Power Consumption Sheet'!$A$34:$P$44,3))</f>
      </c>
      <c r="D43" s="54">
        <f t="shared" si="2"/>
      </c>
      <c r="E43" s="49">
        <f t="shared" si="3"/>
      </c>
      <c r="F43" s="50">
        <f t="shared" si="4"/>
      </c>
      <c r="G43" s="50">
        <f t="shared" si="5"/>
      </c>
      <c r="H43" s="51">
        <f t="shared" si="6"/>
      </c>
      <c r="I43" s="53">
        <f>IF('1_Power Consumption Sheet'!$I44="","",VLOOKUP($A43,'1_Power Consumption Sheet'!$A$34:$P$44,9))</f>
      </c>
      <c r="J43" s="54">
        <f t="shared" si="7"/>
      </c>
      <c r="K43" s="50">
        <f t="shared" si="8"/>
      </c>
      <c r="L43" s="50">
        <f t="shared" si="9"/>
      </c>
      <c r="M43" s="53">
        <f>IF('1_Power Consumption Sheet'!$M44="","",VLOOKUP($A43,'1_Power Consumption Sheet'!$A$34:$P$44,13))</f>
      </c>
      <c r="N43" s="55">
        <f t="shared" si="10"/>
      </c>
      <c r="O43" s="5">
        <f t="shared" si="11"/>
      </c>
      <c r="P43" s="5">
        <f t="shared" si="12"/>
      </c>
      <c r="U43"/>
      <c r="V43"/>
    </row>
    <row r="49" spans="1:9" ht="15">
      <c r="A49" s="6" t="s">
        <v>109</v>
      </c>
      <c r="D49" s="71" t="s">
        <v>145</v>
      </c>
      <c r="E49" s="70"/>
      <c r="H49" s="71" t="s">
        <v>146</v>
      </c>
      <c r="I49" s="70"/>
    </row>
    <row r="50" ht="13.5">
      <c r="A50" s="7" t="s">
        <v>115</v>
      </c>
    </row>
    <row r="51" spans="1:22" ht="13.5">
      <c r="A51" s="3" t="s">
        <v>2</v>
      </c>
      <c r="B51" s="36" t="s">
        <v>2</v>
      </c>
      <c r="C51" s="3" t="s">
        <v>3</v>
      </c>
      <c r="D51" s="3" t="s">
        <v>31</v>
      </c>
      <c r="E51" s="3" t="s">
        <v>32</v>
      </c>
      <c r="F51" s="3" t="s">
        <v>33</v>
      </c>
      <c r="G51" s="3" t="s">
        <v>7</v>
      </c>
      <c r="V51"/>
    </row>
    <row r="52" spans="1:22" ht="13.5">
      <c r="A52" s="35">
        <v>1</v>
      </c>
      <c r="B52" s="43"/>
      <c r="C52" s="5">
        <f>IF($B52="","",VLOOKUP($B52,$A$7:$K$16,3))</f>
      </c>
      <c r="D52" s="5"/>
      <c r="E52" s="5"/>
      <c r="F52" s="5"/>
      <c r="G52" s="5"/>
      <c r="V52"/>
    </row>
    <row r="54" spans="1:11" ht="13.5">
      <c r="A54" s="7" t="s">
        <v>116</v>
      </c>
      <c r="K54" s="7" t="s">
        <v>110</v>
      </c>
    </row>
    <row r="55" spans="1:22" ht="13.5">
      <c r="A55" s="3"/>
      <c r="B55" s="11" t="s">
        <v>113</v>
      </c>
      <c r="C55" s="13"/>
      <c r="D55" s="13"/>
      <c r="E55" s="12"/>
      <c r="F55" s="11" t="s">
        <v>114</v>
      </c>
      <c r="G55" s="13"/>
      <c r="H55" s="13"/>
      <c r="I55" s="12"/>
      <c r="K55" s="3" t="s">
        <v>2</v>
      </c>
      <c r="L55" s="3" t="s">
        <v>121</v>
      </c>
      <c r="Q55"/>
      <c r="R55"/>
      <c r="S55"/>
      <c r="T55"/>
      <c r="U55"/>
      <c r="V55"/>
    </row>
    <row r="56" spans="1:22" ht="13.5">
      <c r="A56" s="3" t="s">
        <v>2</v>
      </c>
      <c r="B56" s="36" t="s">
        <v>11</v>
      </c>
      <c r="C56" s="3" t="s">
        <v>117</v>
      </c>
      <c r="D56" s="3"/>
      <c r="E56" s="3"/>
      <c r="F56" s="36" t="s">
        <v>11</v>
      </c>
      <c r="G56" s="3" t="s">
        <v>117</v>
      </c>
      <c r="H56" s="3"/>
      <c r="I56" s="3"/>
      <c r="K56" s="8">
        <v>1</v>
      </c>
      <c r="L56" s="61" t="s">
        <v>111</v>
      </c>
      <c r="U56"/>
      <c r="V56"/>
    </row>
    <row r="57" spans="1:22" ht="13.5">
      <c r="A57" s="35">
        <v>1</v>
      </c>
      <c r="B57" s="43"/>
      <c r="C57" s="46">
        <f>IF($B57="","",VLOOKUP($B57,$K56:$L58,2))</f>
      </c>
      <c r="D57" s="5"/>
      <c r="E57" s="5"/>
      <c r="F57" s="43"/>
      <c r="G57" s="46">
        <f>IF($F57="","",IF($C57="Bridge","-",IF($F57&gt;2,"-",VLOOKUP($F57,$K56:$L58,2))))</f>
      </c>
      <c r="H57" s="5"/>
      <c r="I57" s="5"/>
      <c r="J57" s="45" t="s">
        <v>119</v>
      </c>
      <c r="K57" s="8">
        <v>2</v>
      </c>
      <c r="L57" s="61" t="s">
        <v>118</v>
      </c>
      <c r="U57"/>
      <c r="V57"/>
    </row>
    <row r="58" spans="11:12" ht="13.5">
      <c r="K58" s="8">
        <v>3</v>
      </c>
      <c r="L58" s="61" t="s">
        <v>112</v>
      </c>
    </row>
    <row r="59" ht="13.5">
      <c r="A59" s="7" t="s">
        <v>88</v>
      </c>
    </row>
    <row r="60" spans="1:22" ht="13.5">
      <c r="A60" s="3"/>
      <c r="B60" s="11" t="s">
        <v>113</v>
      </c>
      <c r="C60" s="13"/>
      <c r="D60" s="13"/>
      <c r="E60" s="12"/>
      <c r="F60" s="11" t="s">
        <v>114</v>
      </c>
      <c r="G60" s="13"/>
      <c r="H60" s="13"/>
      <c r="I60" s="12"/>
      <c r="U60"/>
      <c r="V60"/>
    </row>
    <row r="61" spans="1:22" ht="13.5">
      <c r="A61" s="3" t="s">
        <v>2</v>
      </c>
      <c r="B61" s="36" t="s">
        <v>11</v>
      </c>
      <c r="C61" s="3" t="s">
        <v>3</v>
      </c>
      <c r="D61" s="3" t="s">
        <v>8</v>
      </c>
      <c r="E61" s="3" t="s">
        <v>10</v>
      </c>
      <c r="F61" s="36" t="s">
        <v>11</v>
      </c>
      <c r="G61" s="3" t="s">
        <v>3</v>
      </c>
      <c r="H61" s="3" t="s">
        <v>8</v>
      </c>
      <c r="I61" s="3" t="s">
        <v>10</v>
      </c>
      <c r="U61"/>
      <c r="V61"/>
    </row>
    <row r="62" spans="1:22" ht="13.5">
      <c r="A62" s="35">
        <v>1</v>
      </c>
      <c r="B62" s="37"/>
      <c r="C62" s="60">
        <f>IF($B62="","",VLOOKUP($B62,$A$20:$H$29,3))</f>
      </c>
      <c r="D62" s="5">
        <f>IF($B62="","",VLOOKUP($B62,$A$20:$H$29,7))</f>
      </c>
      <c r="E62" s="5">
        <f>IF($B62="","",VLOOKUP($B62,$A$20:$H$29,8))</f>
      </c>
      <c r="F62" s="37"/>
      <c r="G62" s="60">
        <f>IF($F62="","",VLOOKUP($F62,$A$20:$H$29,3))</f>
      </c>
      <c r="H62" s="5">
        <f>IF($F62="","",VLOOKUP($F62,$A$20:$H$29,7))</f>
      </c>
      <c r="I62" s="5">
        <f>IF($F62="","",VLOOKUP($F62,$A$20:$H$29,8))</f>
      </c>
      <c r="U62"/>
      <c r="V62"/>
    </row>
    <row r="63" spans="1:22" ht="13.5">
      <c r="A63" s="35">
        <v>2</v>
      </c>
      <c r="B63" s="39"/>
      <c r="C63" s="60">
        <f>IF($B63="","",VLOOKUP($B63,$A$20:$H$29,3))</f>
      </c>
      <c r="D63" s="5">
        <f>IF($B63="","",VLOOKUP($B63,$A$20:$H$29,7))</f>
      </c>
      <c r="E63" s="5">
        <f>IF($B63="","",VLOOKUP($B63,$A$20:$H$29,8))</f>
      </c>
      <c r="F63" s="39"/>
      <c r="G63" s="60">
        <f>IF($F63="","",VLOOKUP($F63,$A$20:$H$29,3))</f>
      </c>
      <c r="H63" s="5">
        <f>IF($F63="","",VLOOKUP($F63,$A$20:$H$29,7))</f>
      </c>
      <c r="I63" s="5">
        <f>IF($F63="","",VLOOKUP($F63,$A$20:$H$29,8))</f>
      </c>
      <c r="U63"/>
      <c r="V63"/>
    </row>
    <row r="65" ht="13.5">
      <c r="A65" s="7" t="s">
        <v>123</v>
      </c>
    </row>
    <row r="66" spans="1:22" ht="13.5">
      <c r="A66" s="3"/>
      <c r="B66" s="11" t="s">
        <v>113</v>
      </c>
      <c r="C66" s="13"/>
      <c r="D66" s="13"/>
      <c r="E66" s="12"/>
      <c r="F66" s="11" t="s">
        <v>114</v>
      </c>
      <c r="G66" s="13"/>
      <c r="H66" s="13"/>
      <c r="I66" s="12"/>
      <c r="U66"/>
      <c r="V66"/>
    </row>
    <row r="67" spans="1:22" ht="13.5">
      <c r="A67" s="3" t="s">
        <v>2</v>
      </c>
      <c r="B67" s="3" t="s">
        <v>122</v>
      </c>
      <c r="C67" s="3" t="s">
        <v>120</v>
      </c>
      <c r="D67" s="3" t="s">
        <v>10</v>
      </c>
      <c r="E67" s="3" t="s">
        <v>144</v>
      </c>
      <c r="F67" s="3" t="s">
        <v>122</v>
      </c>
      <c r="G67" s="3" t="s">
        <v>120</v>
      </c>
      <c r="H67" s="3" t="s">
        <v>10</v>
      </c>
      <c r="I67" s="3" t="s">
        <v>144</v>
      </c>
      <c r="U67"/>
      <c r="V67"/>
    </row>
    <row r="68" spans="1:22" ht="13.5">
      <c r="A68" s="5">
        <v>1</v>
      </c>
      <c r="B68" s="47">
        <f>IF($B62="","",IF($C68="","Error","OK"))</f>
      </c>
      <c r="C68" s="5">
        <f>IF($C57="Bridge",VLOOKUP($B52,$A$7:$K$16,10),IF($D68=8,VLOOKUP($B52,$A$7:$K$16,8),IF($D68=4,VLOOKUP($B52,$A$7:$K$16,9),"")))</f>
      </c>
      <c r="D68" s="5">
        <f>IF($C57="Stereo",VLOOKUP(1,$A62:$E63,5),IF($C57="Parallel",((VLOOKUP(1,$A62:$E63,5)*VLOOKUP(2,$A62:$E63,5))/(VLOOKUP(1,$A62:$E63,5)+VLOOKUP(2,$A62:$E63,5))),IF($C57="Bridge",VLOOKUP(1,$A62:$E63,5),"")))</f>
      </c>
      <c r="E68" s="40">
        <f>IF($C68="","",20*LOG($D62/$C68))</f>
      </c>
      <c r="F68" s="47">
        <f>IF($F62="","",IF($F57&gt;2,"",IF($G68="","Error","OK")))</f>
      </c>
      <c r="G68" s="5">
        <f>IF($G57="Bridge",VLOOKUP($B52,$A$7:$K$16,10),IF($H68=8,VLOOKUP($B52,$A$7:$K$16,8),IF($H68=4,VLOOKUP($B52,$A$7:$K$16,9),"")))</f>
      </c>
      <c r="H68" s="5">
        <f>IF($G57="Stereo",VLOOKUP(1,$A62:$I63,9),IF($G57="Parallel",((VLOOKUP(1,$A62:$I63,9)*VLOOKUP(2,$A62:$I63,9))/(VLOOKUP(1,$A62:$I63,9)+VLOOKUP(2,$A62:$I63,9))),IF($G57="Bridge",VLOOKUP(1,$A62:$I63,9),"")))</f>
      </c>
      <c r="I68" s="40">
        <f>IF($G68="","",20*LOG($H62/$G68))</f>
      </c>
      <c r="U68"/>
      <c r="V68"/>
    </row>
    <row r="74" spans="1:9" ht="15">
      <c r="A74" s="6" t="s">
        <v>124</v>
      </c>
      <c r="D74" s="71" t="s">
        <v>145</v>
      </c>
      <c r="E74" s="70"/>
      <c r="H74" s="71" t="s">
        <v>146</v>
      </c>
      <c r="I74" s="70"/>
    </row>
    <row r="75" ht="13.5">
      <c r="A75" s="7" t="s">
        <v>115</v>
      </c>
    </row>
    <row r="76" spans="1:7" ht="13.5">
      <c r="A76" s="3" t="s">
        <v>2</v>
      </c>
      <c r="B76" s="36" t="s">
        <v>2</v>
      </c>
      <c r="C76" s="3" t="s">
        <v>3</v>
      </c>
      <c r="D76" s="3" t="s">
        <v>31</v>
      </c>
      <c r="E76" s="3" t="s">
        <v>32</v>
      </c>
      <c r="F76" s="3" t="s">
        <v>33</v>
      </c>
      <c r="G76" s="3" t="s">
        <v>7</v>
      </c>
    </row>
    <row r="77" spans="1:7" ht="13.5">
      <c r="A77" s="35">
        <v>1</v>
      </c>
      <c r="B77" s="43"/>
      <c r="C77" s="55">
        <f>IF($B77="","",VLOOKUP($B77,$A$7:$K$16,3))</f>
      </c>
      <c r="D77" s="5">
        <f>IF($B77="","",VLOOKUP($B77,$A$7:$K$16,8))</f>
      </c>
      <c r="E77" s="5">
        <f>IF($B77="","",VLOOKUP($B77,$A$7:$K$16,9))</f>
      </c>
      <c r="F77" s="5">
        <f>IF($B77="","",VLOOKUP($B77,$A$7:$K$16,10))</f>
      </c>
      <c r="G77" s="5">
        <f>IF($B77="","",VLOOKUP($B77,$A$7:$K$16,11))</f>
      </c>
    </row>
    <row r="79" spans="1:11" ht="13.5">
      <c r="A79" s="7" t="s">
        <v>116</v>
      </c>
      <c r="K79" s="7" t="s">
        <v>110</v>
      </c>
    </row>
    <row r="80" spans="1:12" ht="13.5">
      <c r="A80" s="3"/>
      <c r="B80" s="11" t="s">
        <v>113</v>
      </c>
      <c r="C80" s="13"/>
      <c r="D80" s="13"/>
      <c r="E80" s="12"/>
      <c r="F80" s="11" t="s">
        <v>114</v>
      </c>
      <c r="G80" s="13"/>
      <c r="H80" s="13"/>
      <c r="I80" s="12"/>
      <c r="K80" s="3" t="s">
        <v>2</v>
      </c>
      <c r="L80" s="3" t="s">
        <v>121</v>
      </c>
    </row>
    <row r="81" spans="1:12" ht="13.5">
      <c r="A81" s="3" t="s">
        <v>2</v>
      </c>
      <c r="B81" s="36" t="s">
        <v>11</v>
      </c>
      <c r="C81" s="3" t="s">
        <v>117</v>
      </c>
      <c r="D81" s="3"/>
      <c r="E81" s="3"/>
      <c r="F81" s="36" t="s">
        <v>11</v>
      </c>
      <c r="G81" s="3" t="s">
        <v>117</v>
      </c>
      <c r="H81" s="3"/>
      <c r="I81" s="3"/>
      <c r="K81" s="8">
        <v>1</v>
      </c>
      <c r="L81" s="61" t="s">
        <v>111</v>
      </c>
    </row>
    <row r="82" spans="1:12" ht="13.5">
      <c r="A82" s="35">
        <v>1</v>
      </c>
      <c r="B82" s="43"/>
      <c r="C82" s="46">
        <f>IF($B82="","",VLOOKUP($B82,$K81:$L83,2))</f>
      </c>
      <c r="D82" s="5"/>
      <c r="E82" s="5"/>
      <c r="F82" s="43"/>
      <c r="G82" s="46">
        <f>IF($F82="","",IF($C82="Bridge","-",IF($F82&gt;2,"-",VLOOKUP($F82,$K81:$L83,2))))</f>
      </c>
      <c r="H82" s="5"/>
      <c r="I82" s="5"/>
      <c r="J82" s="45" t="s">
        <v>119</v>
      </c>
      <c r="K82" s="8">
        <v>2</v>
      </c>
      <c r="L82" s="61" t="s">
        <v>118</v>
      </c>
    </row>
    <row r="83" spans="11:12" ht="13.5">
      <c r="K83" s="8">
        <v>3</v>
      </c>
      <c r="L83" s="61" t="s">
        <v>112</v>
      </c>
    </row>
    <row r="84" ht="13.5">
      <c r="A84" s="7" t="s">
        <v>88</v>
      </c>
    </row>
    <row r="85" spans="1:9" ht="13.5">
      <c r="A85" s="3"/>
      <c r="B85" s="11" t="s">
        <v>113</v>
      </c>
      <c r="C85" s="13"/>
      <c r="D85" s="13"/>
      <c r="E85" s="12"/>
      <c r="F85" s="11" t="s">
        <v>114</v>
      </c>
      <c r="G85" s="13"/>
      <c r="H85" s="13"/>
      <c r="I85" s="12"/>
    </row>
    <row r="86" spans="1:9" ht="13.5">
      <c r="A86" s="3" t="s">
        <v>2</v>
      </c>
      <c r="B86" s="36" t="s">
        <v>11</v>
      </c>
      <c r="C86" s="3" t="s">
        <v>3</v>
      </c>
      <c r="D86" s="3" t="s">
        <v>8</v>
      </c>
      <c r="E86" s="3" t="s">
        <v>10</v>
      </c>
      <c r="F86" s="36" t="s">
        <v>11</v>
      </c>
      <c r="G86" s="3" t="s">
        <v>3</v>
      </c>
      <c r="H86" s="3" t="s">
        <v>8</v>
      </c>
      <c r="I86" s="3" t="s">
        <v>10</v>
      </c>
    </row>
    <row r="87" spans="1:9" ht="13.5">
      <c r="A87" s="35">
        <v>1</v>
      </c>
      <c r="B87" s="37"/>
      <c r="C87" s="60">
        <f>IF($B87="","",VLOOKUP($B87,$A$20:$H$29,3))</f>
      </c>
      <c r="D87" s="5">
        <f>IF($B87="","",VLOOKUP($B87,$A$20:$H$29,7))</f>
      </c>
      <c r="E87" s="5">
        <f>IF($B87="","",VLOOKUP($B87,$A$20:$H$29,8))</f>
      </c>
      <c r="F87" s="37"/>
      <c r="G87" s="60">
        <f>IF($F87="","",VLOOKUP($F87,$A$20:$H$29,3))</f>
      </c>
      <c r="H87" s="5">
        <f>IF($F87="","",VLOOKUP($F87,$A$20:$H$29,7))</f>
      </c>
      <c r="I87" s="5">
        <f>IF($F87="","",VLOOKUP($F87,$A$20:$H$29,8))</f>
      </c>
    </row>
    <row r="88" spans="1:9" ht="13.5">
      <c r="A88" s="35">
        <v>2</v>
      </c>
      <c r="B88" s="39"/>
      <c r="C88" s="60">
        <f>IF($B88="","",VLOOKUP($B88,$A$20:$H$29,3))</f>
      </c>
      <c r="D88" s="5">
        <f>IF($B88="","",VLOOKUP($B88,$A$20:$H$29,7))</f>
      </c>
      <c r="E88" s="5">
        <f>IF($B88="","",VLOOKUP($B88,$A$20:$H$29,8))</f>
      </c>
      <c r="F88" s="39"/>
      <c r="G88" s="60">
        <f>IF($F88="","",VLOOKUP($F88,$A$20:$H$29,3))</f>
      </c>
      <c r="H88" s="5">
        <f>IF($F88="","",VLOOKUP($F88,$A$20:$H$29,7))</f>
      </c>
      <c r="I88" s="5">
        <f>IF($F88="","",VLOOKUP($F88,$A$20:$H$29,8))</f>
      </c>
    </row>
    <row r="90" ht="13.5">
      <c r="A90" s="7" t="s">
        <v>123</v>
      </c>
    </row>
    <row r="91" spans="1:9" ht="13.5">
      <c r="A91" s="3"/>
      <c r="B91" s="11" t="s">
        <v>113</v>
      </c>
      <c r="C91" s="13"/>
      <c r="D91" s="13"/>
      <c r="E91" s="12"/>
      <c r="F91" s="11" t="s">
        <v>114</v>
      </c>
      <c r="G91" s="13"/>
      <c r="H91" s="13"/>
      <c r="I91" s="12"/>
    </row>
    <row r="92" spans="1:9" ht="13.5">
      <c r="A92" s="3" t="s">
        <v>2</v>
      </c>
      <c r="B92" s="3" t="s">
        <v>122</v>
      </c>
      <c r="C92" s="3" t="s">
        <v>120</v>
      </c>
      <c r="D92" s="3" t="s">
        <v>10</v>
      </c>
      <c r="E92" s="3" t="s">
        <v>144</v>
      </c>
      <c r="F92" s="3" t="s">
        <v>122</v>
      </c>
      <c r="G92" s="3" t="s">
        <v>120</v>
      </c>
      <c r="H92" s="3" t="s">
        <v>10</v>
      </c>
      <c r="I92" s="3" t="s">
        <v>144</v>
      </c>
    </row>
    <row r="93" spans="1:9" ht="13.5">
      <c r="A93" s="5">
        <v>1</v>
      </c>
      <c r="B93" s="47">
        <f>IF($B87="","",IF($C93="","Error","OK"))</f>
      </c>
      <c r="C93" s="5">
        <f>IF($C82="Bridge",VLOOKUP($B77,$A$7:$K$16,10),IF($D93=8,VLOOKUP($B77,$A$7:$K$16,8),IF($D93=4,VLOOKUP($B77,$A$7:$K$16,9),"")))</f>
      </c>
      <c r="D93" s="5">
        <f>IF($C82="Stereo",VLOOKUP(1,$A87:$E88,5),IF($C82="Parallel",((VLOOKUP(1,$A87:$E88,5)*VLOOKUP(2,$A87:$E88,5))/(VLOOKUP(1,$A87:$E88,5)+VLOOKUP(2,$A87:$E88,5))),IF($C82="Bridge",VLOOKUP(1,$A87:$E88,5),"")))</f>
      </c>
      <c r="E93" s="40">
        <f>IF($C93="","",20*LOG($D87/$C93))</f>
      </c>
      <c r="F93" s="47">
        <f>IF($F87="","",IF($F82&gt;2,"",IF($G93="","Error","OK")))</f>
      </c>
      <c r="G93" s="5">
        <f>IF($G82="Bridge",VLOOKUP($B77,$A$7:$K$16,10),IF($H93=8,VLOOKUP($B77,$A$7:$K$16,8),IF($H93=4,VLOOKUP($B77,$A$7:$K$16,9),"")))</f>
      </c>
      <c r="H93" s="5">
        <f>IF($G82="Stereo",VLOOKUP(1,$A87:$I88,9),IF($G82="Parallel",((VLOOKUP(1,$A87:$I88,9)*VLOOKUP(2,$A87:$I88,9))/(VLOOKUP(1,$A87:$I88,9)+VLOOKUP(2,$A87:$I88,9))),IF($G82="Bridge",VLOOKUP(1,$A87:$I88,9),"")))</f>
      </c>
      <c r="I93" s="40">
        <f>IF($G93="","",20*LOG($H87/$G93))</f>
      </c>
    </row>
    <row r="99" spans="1:9" ht="15">
      <c r="A99" s="6" t="s">
        <v>125</v>
      </c>
      <c r="D99" s="71" t="s">
        <v>145</v>
      </c>
      <c r="E99" s="70"/>
      <c r="H99" s="71" t="s">
        <v>146</v>
      </c>
      <c r="I99" s="70"/>
    </row>
    <row r="100" ht="13.5">
      <c r="A100" s="7" t="s">
        <v>115</v>
      </c>
    </row>
    <row r="101" spans="1:7" ht="13.5">
      <c r="A101" s="3" t="s">
        <v>2</v>
      </c>
      <c r="B101" s="36" t="s">
        <v>2</v>
      </c>
      <c r="C101" s="3" t="s">
        <v>3</v>
      </c>
      <c r="D101" s="3" t="s">
        <v>31</v>
      </c>
      <c r="E101" s="3" t="s">
        <v>32</v>
      </c>
      <c r="F101" s="3" t="s">
        <v>33</v>
      </c>
      <c r="G101" s="3" t="s">
        <v>7</v>
      </c>
    </row>
    <row r="102" spans="1:7" ht="13.5">
      <c r="A102" s="35">
        <v>1</v>
      </c>
      <c r="B102" s="43"/>
      <c r="C102" s="55">
        <f>IF($B102="","",VLOOKUP($B102,$A$7:$K$16,3))</f>
      </c>
      <c r="D102" s="5">
        <f>IF($B102="","",VLOOKUP($B102,$A$7:$K$16,8))</f>
      </c>
      <c r="E102" s="5">
        <f>IF($B102="","",VLOOKUP($B102,$A$7:$K$16,9))</f>
      </c>
      <c r="F102" s="5">
        <f>IF($B102="","",VLOOKUP($B102,$A$7:$K$16,10))</f>
      </c>
      <c r="G102" s="5">
        <f>IF($B102="","",VLOOKUP($B102,$A$7:$K$16,11))</f>
      </c>
    </row>
    <row r="104" spans="1:11" ht="13.5">
      <c r="A104" s="7" t="s">
        <v>116</v>
      </c>
      <c r="K104" s="7" t="s">
        <v>110</v>
      </c>
    </row>
    <row r="105" spans="1:12" ht="13.5">
      <c r="A105" s="3"/>
      <c r="B105" s="11" t="s">
        <v>113</v>
      </c>
      <c r="C105" s="13"/>
      <c r="D105" s="13"/>
      <c r="E105" s="12"/>
      <c r="F105" s="11" t="s">
        <v>114</v>
      </c>
      <c r="G105" s="13"/>
      <c r="H105" s="13"/>
      <c r="I105" s="12"/>
      <c r="K105" s="3" t="s">
        <v>2</v>
      </c>
      <c r="L105" s="3" t="s">
        <v>121</v>
      </c>
    </row>
    <row r="106" spans="1:12" ht="13.5">
      <c r="A106" s="3" t="s">
        <v>2</v>
      </c>
      <c r="B106" s="36" t="s">
        <v>11</v>
      </c>
      <c r="C106" s="3" t="s">
        <v>117</v>
      </c>
      <c r="D106" s="3"/>
      <c r="E106" s="3"/>
      <c r="F106" s="36" t="s">
        <v>11</v>
      </c>
      <c r="G106" s="3" t="s">
        <v>117</v>
      </c>
      <c r="H106" s="3"/>
      <c r="I106" s="3"/>
      <c r="K106" s="8">
        <v>1</v>
      </c>
      <c r="L106" s="61" t="s">
        <v>111</v>
      </c>
    </row>
    <row r="107" spans="1:12" ht="13.5">
      <c r="A107" s="35">
        <v>1</v>
      </c>
      <c r="B107" s="43"/>
      <c r="C107" s="46">
        <f>IF($B107="","",VLOOKUP($B107,$K106:$L108,2))</f>
      </c>
      <c r="D107" s="5"/>
      <c r="E107" s="5"/>
      <c r="F107" s="43"/>
      <c r="G107" s="46">
        <f>IF($F107="","",IF($C107="Bridge","-",IF($F107&gt;2,"-",VLOOKUP($F107,$K106:$L108,2))))</f>
      </c>
      <c r="H107" s="5"/>
      <c r="I107" s="5"/>
      <c r="J107" s="45" t="s">
        <v>119</v>
      </c>
      <c r="K107" s="8">
        <v>2</v>
      </c>
      <c r="L107" s="61" t="s">
        <v>118</v>
      </c>
    </row>
    <row r="108" spans="11:12" ht="13.5">
      <c r="K108" s="8">
        <v>3</v>
      </c>
      <c r="L108" s="61" t="s">
        <v>112</v>
      </c>
    </row>
    <row r="109" ht="13.5">
      <c r="A109" s="7" t="s">
        <v>88</v>
      </c>
    </row>
    <row r="110" spans="1:9" ht="13.5">
      <c r="A110" s="3"/>
      <c r="B110" s="11" t="s">
        <v>113</v>
      </c>
      <c r="C110" s="13"/>
      <c r="D110" s="13"/>
      <c r="E110" s="12"/>
      <c r="F110" s="11" t="s">
        <v>114</v>
      </c>
      <c r="G110" s="13"/>
      <c r="H110" s="13"/>
      <c r="I110" s="12"/>
    </row>
    <row r="111" spans="1:9" ht="13.5">
      <c r="A111" s="3" t="s">
        <v>2</v>
      </c>
      <c r="B111" s="36" t="s">
        <v>11</v>
      </c>
      <c r="C111" s="3" t="s">
        <v>3</v>
      </c>
      <c r="D111" s="3" t="s">
        <v>8</v>
      </c>
      <c r="E111" s="3" t="s">
        <v>10</v>
      </c>
      <c r="F111" s="36" t="s">
        <v>11</v>
      </c>
      <c r="G111" s="3" t="s">
        <v>3</v>
      </c>
      <c r="H111" s="3" t="s">
        <v>8</v>
      </c>
      <c r="I111" s="3" t="s">
        <v>10</v>
      </c>
    </row>
    <row r="112" spans="1:9" ht="13.5">
      <c r="A112" s="35">
        <v>1</v>
      </c>
      <c r="B112" s="37"/>
      <c r="C112" s="60">
        <f>IF($B112="","",VLOOKUP($B112,$A$20:$H$29,3))</f>
      </c>
      <c r="D112" s="5">
        <f>IF($B112="","",VLOOKUP($B112,$A$20:$H$29,7))</f>
      </c>
      <c r="E112" s="5">
        <f>IF($B112="","",VLOOKUP($B112,$A$20:$H$29,8))</f>
      </c>
      <c r="F112" s="37"/>
      <c r="G112" s="60">
        <f>IF($F112="","",VLOOKUP($F112,$A$20:$H$29,3))</f>
      </c>
      <c r="H112" s="5">
        <f>IF($F112="","",VLOOKUP($F112,$A$20:$H$29,7))</f>
      </c>
      <c r="I112" s="5">
        <f>IF($F112="","",VLOOKUP($F112,$A$20:$H$29,8))</f>
      </c>
    </row>
    <row r="113" spans="1:9" ht="13.5">
      <c r="A113" s="35">
        <v>2</v>
      </c>
      <c r="B113" s="39"/>
      <c r="C113" s="60">
        <f>IF($B113="","",VLOOKUP($B113,$A$20:$H$29,3))</f>
      </c>
      <c r="D113" s="5">
        <f>IF($B113="","",VLOOKUP($B113,$A$20:$H$29,7))</f>
      </c>
      <c r="E113" s="5">
        <f>IF($B113="","",VLOOKUP($B113,$A$20:$H$29,8))</f>
      </c>
      <c r="F113" s="39"/>
      <c r="G113" s="60">
        <f>IF($F113="","",VLOOKUP($F113,$A$20:$H$29,3))</f>
      </c>
      <c r="H113" s="5">
        <f>IF($F113="","",VLOOKUP($F113,$A$20:$H$29,7))</f>
      </c>
      <c r="I113" s="5">
        <f>IF($F113="","",VLOOKUP($F113,$A$20:$H$29,8))</f>
      </c>
    </row>
    <row r="115" ht="13.5">
      <c r="A115" s="7" t="s">
        <v>123</v>
      </c>
    </row>
    <row r="116" spans="1:9" ht="13.5">
      <c r="A116" s="3"/>
      <c r="B116" s="11" t="s">
        <v>113</v>
      </c>
      <c r="C116" s="13"/>
      <c r="D116" s="13"/>
      <c r="E116" s="12"/>
      <c r="F116" s="11" t="s">
        <v>114</v>
      </c>
      <c r="G116" s="13"/>
      <c r="H116" s="13"/>
      <c r="I116" s="12"/>
    </row>
    <row r="117" spans="1:9" ht="13.5">
      <c r="A117" s="3" t="s">
        <v>2</v>
      </c>
      <c r="B117" s="3" t="s">
        <v>122</v>
      </c>
      <c r="C117" s="3" t="s">
        <v>120</v>
      </c>
      <c r="D117" s="3" t="s">
        <v>10</v>
      </c>
      <c r="E117" s="3" t="s">
        <v>143</v>
      </c>
      <c r="F117" s="3" t="s">
        <v>122</v>
      </c>
      <c r="G117" s="3" t="s">
        <v>120</v>
      </c>
      <c r="H117" s="3" t="s">
        <v>10</v>
      </c>
      <c r="I117" s="3" t="s">
        <v>143</v>
      </c>
    </row>
    <row r="118" spans="1:9" ht="13.5">
      <c r="A118" s="5">
        <v>1</v>
      </c>
      <c r="B118" s="47">
        <f>IF($B112="","",IF($C118="","Error","OK"))</f>
      </c>
      <c r="C118" s="5">
        <f>IF($C107="Bridge",VLOOKUP($B102,$A$7:$K$16,10),IF($D118=8,VLOOKUP($B102,$A$7:$K$16,8),IF($D118=4,VLOOKUP($B102,$A$7:$K$16,9),"")))</f>
      </c>
      <c r="D118" s="5">
        <f>IF($C107="Stereo",VLOOKUP(1,$A112:$E113,5),IF($C107="Parallel",((VLOOKUP(1,$A112:$E113,5)*VLOOKUP(2,$A112:$E113,5))/(VLOOKUP(1,$A112:$E113,5)+VLOOKUP(2,$A112:$E113,5))),IF($C107="Bridge",VLOOKUP(1,$A112:$E113,5),"")))</f>
      </c>
      <c r="E118" s="40">
        <f>IF($C118="","",20*LOG($D112/$C118))</f>
      </c>
      <c r="F118" s="47">
        <f>IF($F112="","",IF($F107&gt;2,"",IF($G118="","Error","OK")))</f>
      </c>
      <c r="G118" s="5">
        <f>IF($G107="Bridge",VLOOKUP($B102,$A$7:$K$16,10),IF($H118=8,VLOOKUP($B102,$A$7:$K$16,8),IF($H118=4,VLOOKUP($B102,$A$7:$K$16,9),"")))</f>
      </c>
      <c r="H118" s="5">
        <f>IF($G107="Stereo",VLOOKUP(1,$A112:$I113,9),IF($G107="Parallel",((VLOOKUP(1,$A112:$I113,9)*VLOOKUP(2,$A112:$I113,9))/(VLOOKUP(1,$A112:$I113,9)+VLOOKUP(2,$A112:$I113,9))),IF($G107="Bridge",VLOOKUP(1,$A112:$I113,9),"")))</f>
      </c>
      <c r="I118" s="40">
        <f>IF($G118="","",20*LOG($H112/$G118))</f>
      </c>
    </row>
    <row r="124" spans="1:9" ht="15">
      <c r="A124" s="6" t="s">
        <v>126</v>
      </c>
      <c r="D124" s="71" t="s">
        <v>145</v>
      </c>
      <c r="E124" s="70"/>
      <c r="H124" s="71" t="s">
        <v>146</v>
      </c>
      <c r="I124" s="70"/>
    </row>
    <row r="125" ht="13.5">
      <c r="A125" s="7" t="s">
        <v>115</v>
      </c>
    </row>
    <row r="126" spans="1:7" ht="13.5">
      <c r="A126" s="3" t="s">
        <v>2</v>
      </c>
      <c r="B126" s="36" t="s">
        <v>2</v>
      </c>
      <c r="C126" s="3" t="s">
        <v>3</v>
      </c>
      <c r="D126" s="3" t="s">
        <v>31</v>
      </c>
      <c r="E126" s="3" t="s">
        <v>32</v>
      </c>
      <c r="F126" s="3" t="s">
        <v>33</v>
      </c>
      <c r="G126" s="3" t="s">
        <v>7</v>
      </c>
    </row>
    <row r="127" spans="1:7" ht="13.5">
      <c r="A127" s="35">
        <v>1</v>
      </c>
      <c r="B127" s="43"/>
      <c r="C127" s="55">
        <f>IF($B127="","",VLOOKUP($B127,$A$7:$K$16,3))</f>
      </c>
      <c r="D127" s="5">
        <f>IF($B127="","",VLOOKUP($B127,$A$7:$K$16,8))</f>
      </c>
      <c r="E127" s="5">
        <f>IF($B127="","",VLOOKUP($B127,$A$7:$K$16,9))</f>
      </c>
      <c r="F127" s="5">
        <f>IF($B127="","",VLOOKUP($B127,$A$7:$K$16,10))</f>
      </c>
      <c r="G127" s="5">
        <f>IF($B127="","",VLOOKUP($B127,$A$7:$K$16,11))</f>
      </c>
    </row>
    <row r="129" spans="1:11" ht="13.5">
      <c r="A129" s="7" t="s">
        <v>116</v>
      </c>
      <c r="K129" s="7" t="s">
        <v>110</v>
      </c>
    </row>
    <row r="130" spans="1:12" ht="13.5">
      <c r="A130" s="3"/>
      <c r="B130" s="11" t="s">
        <v>113</v>
      </c>
      <c r="C130" s="13"/>
      <c r="D130" s="13"/>
      <c r="E130" s="12"/>
      <c r="F130" s="11" t="s">
        <v>114</v>
      </c>
      <c r="G130" s="13"/>
      <c r="H130" s="13"/>
      <c r="I130" s="12"/>
      <c r="K130" s="3" t="s">
        <v>2</v>
      </c>
      <c r="L130" s="3" t="s">
        <v>121</v>
      </c>
    </row>
    <row r="131" spans="1:12" ht="13.5">
      <c r="A131" s="3" t="s">
        <v>2</v>
      </c>
      <c r="B131" s="36" t="s">
        <v>11</v>
      </c>
      <c r="C131" s="3" t="s">
        <v>117</v>
      </c>
      <c r="D131" s="3"/>
      <c r="E131" s="3"/>
      <c r="F131" s="36" t="s">
        <v>11</v>
      </c>
      <c r="G131" s="3" t="s">
        <v>117</v>
      </c>
      <c r="H131" s="3"/>
      <c r="I131" s="3"/>
      <c r="K131" s="8">
        <v>1</v>
      </c>
      <c r="L131" s="61" t="s">
        <v>111</v>
      </c>
    </row>
    <row r="132" spans="1:12" ht="13.5">
      <c r="A132" s="35">
        <v>1</v>
      </c>
      <c r="B132" s="43"/>
      <c r="C132" s="46">
        <f>IF($B132="","",VLOOKUP($B132,$K131:$L133,2))</f>
      </c>
      <c r="D132" s="5"/>
      <c r="E132" s="5"/>
      <c r="F132" s="43"/>
      <c r="G132" s="46">
        <f>IF($F132="","",IF($C132="Bridge","-",IF($F132&gt;2,"-",VLOOKUP($F132,$K131:$L133,2))))</f>
      </c>
      <c r="H132" s="5"/>
      <c r="I132" s="5"/>
      <c r="J132" s="45" t="s">
        <v>119</v>
      </c>
      <c r="K132" s="8">
        <v>2</v>
      </c>
      <c r="L132" s="61" t="s">
        <v>118</v>
      </c>
    </row>
    <row r="133" spans="11:12" ht="13.5">
      <c r="K133" s="8">
        <v>3</v>
      </c>
      <c r="L133" s="61" t="s">
        <v>112</v>
      </c>
    </row>
    <row r="134" ht="13.5">
      <c r="A134" s="7" t="s">
        <v>88</v>
      </c>
    </row>
    <row r="135" spans="1:9" ht="13.5">
      <c r="A135" s="3"/>
      <c r="B135" s="11" t="s">
        <v>113</v>
      </c>
      <c r="C135" s="13"/>
      <c r="D135" s="13"/>
      <c r="E135" s="12"/>
      <c r="F135" s="11" t="s">
        <v>114</v>
      </c>
      <c r="G135" s="13"/>
      <c r="H135" s="13"/>
      <c r="I135" s="12"/>
    </row>
    <row r="136" spans="1:9" ht="13.5">
      <c r="A136" s="3" t="s">
        <v>2</v>
      </c>
      <c r="B136" s="36" t="s">
        <v>11</v>
      </c>
      <c r="C136" s="3" t="s">
        <v>3</v>
      </c>
      <c r="D136" s="3" t="s">
        <v>8</v>
      </c>
      <c r="E136" s="3" t="s">
        <v>10</v>
      </c>
      <c r="F136" s="36" t="s">
        <v>11</v>
      </c>
      <c r="G136" s="3" t="s">
        <v>3</v>
      </c>
      <c r="H136" s="3" t="s">
        <v>8</v>
      </c>
      <c r="I136" s="3" t="s">
        <v>10</v>
      </c>
    </row>
    <row r="137" spans="1:9" ht="13.5">
      <c r="A137" s="35">
        <v>1</v>
      </c>
      <c r="B137" s="37"/>
      <c r="C137" s="60">
        <f>IF($B137="","",VLOOKUP($B137,$A$20:$H$29,3))</f>
      </c>
      <c r="D137" s="5">
        <f>IF($B137="","",VLOOKUP($B137,$A$20:$H$29,7))</f>
      </c>
      <c r="E137" s="5">
        <f>IF($B137="","",VLOOKUP($B137,$A$20:$H$29,8))</f>
      </c>
      <c r="F137" s="37"/>
      <c r="G137" s="60">
        <f>IF($F137="","",VLOOKUP($F137,$A$20:$H$29,3))</f>
      </c>
      <c r="H137" s="5">
        <f>IF($F137="","",VLOOKUP($F137,$A$20:$H$29,7))</f>
      </c>
      <c r="I137" s="5">
        <f>IF($F137="","",VLOOKUP($F137,$A$20:$H$29,8))</f>
      </c>
    </row>
    <row r="138" spans="1:9" ht="13.5">
      <c r="A138" s="35">
        <v>2</v>
      </c>
      <c r="B138" s="39"/>
      <c r="C138" s="60">
        <f>IF($B138="","",VLOOKUP($B138,$A$20:$H$29,3))</f>
      </c>
      <c r="D138" s="5">
        <f>IF($B138="","",VLOOKUP($B138,$A$20:$H$29,7))</f>
      </c>
      <c r="E138" s="5">
        <f>IF($B138="","",VLOOKUP($B138,$A$20:$H$29,8))</f>
      </c>
      <c r="F138" s="39"/>
      <c r="G138" s="60">
        <f>IF($F138="","",VLOOKUP($F138,$A$20:$H$29,3))</f>
      </c>
      <c r="H138" s="5">
        <f>IF($F138="","",VLOOKUP($F138,$A$20:$H$29,7))</f>
      </c>
      <c r="I138" s="5">
        <f>IF($F138="","",VLOOKUP($F138,$A$20:$H$29,8))</f>
      </c>
    </row>
    <row r="140" ht="13.5">
      <c r="A140" s="7" t="s">
        <v>123</v>
      </c>
    </row>
    <row r="141" spans="1:9" ht="13.5">
      <c r="A141" s="3"/>
      <c r="B141" s="11" t="s">
        <v>113</v>
      </c>
      <c r="C141" s="13"/>
      <c r="D141" s="13"/>
      <c r="E141" s="12"/>
      <c r="F141" s="11" t="s">
        <v>114</v>
      </c>
      <c r="G141" s="13"/>
      <c r="H141" s="13"/>
      <c r="I141" s="12"/>
    </row>
    <row r="142" spans="1:9" ht="13.5">
      <c r="A142" s="3" t="s">
        <v>2</v>
      </c>
      <c r="B142" s="3" t="s">
        <v>122</v>
      </c>
      <c r="C142" s="3" t="s">
        <v>120</v>
      </c>
      <c r="D142" s="3" t="s">
        <v>10</v>
      </c>
      <c r="E142" s="3" t="s">
        <v>143</v>
      </c>
      <c r="F142" s="3" t="s">
        <v>122</v>
      </c>
      <c r="G142" s="3" t="s">
        <v>120</v>
      </c>
      <c r="H142" s="3" t="s">
        <v>10</v>
      </c>
      <c r="I142" s="3" t="s">
        <v>143</v>
      </c>
    </row>
    <row r="143" spans="1:9" ht="13.5">
      <c r="A143" s="5">
        <v>1</v>
      </c>
      <c r="B143" s="47">
        <f>IF($B137="","",IF($C143="","Error","OK"))</f>
      </c>
      <c r="C143" s="5">
        <f>IF($C132="Bridge",VLOOKUP($B127,$A$7:$K$16,10),IF($D143=8,VLOOKUP($B127,$A$7:$K$16,8),IF($D143=4,VLOOKUP($B127,$A$7:$K$16,9),"")))</f>
      </c>
      <c r="D143" s="5">
        <f>IF($C132="Stereo",VLOOKUP(1,$A137:$E138,5),IF($C132="Parallel",((VLOOKUP(1,$A137:$E138,5)*VLOOKUP(2,$A137:$E138,5))/(VLOOKUP(1,$A137:$E138,5)+VLOOKUP(2,$A137:$E138,5))),IF($C132="Bridge",VLOOKUP(1,$A137:$E138,5),"")))</f>
      </c>
      <c r="E143" s="40">
        <f>IF($C143="","",20*LOG($D137/$C143))</f>
      </c>
      <c r="F143" s="47">
        <f>IF($F137="","",IF($F132&gt;2,"",IF($G143="","Error","OK")))</f>
      </c>
      <c r="G143" s="5">
        <f>IF($G132="Bridge",VLOOKUP($B127,$A$7:$K$16,10),IF($H143=8,VLOOKUP($B127,$A$7:$K$16,8),IF($H143=4,VLOOKUP($B127,$A$7:$K$16,9),"")))</f>
      </c>
      <c r="H143" s="5">
        <f>IF($G132="Stereo",VLOOKUP(1,$A137:$I138,9),IF($G132="Parallel",((VLOOKUP(1,$A137:$I138,9)*VLOOKUP(2,$A137:$I138,9))/(VLOOKUP(1,$A137:$I138,9)+VLOOKUP(2,$A137:$I138,9))),IF($G132="Bridge",VLOOKUP(1,$A137:$I138,9),"")))</f>
      </c>
      <c r="I143" s="40">
        <f>IF($G143="","",20*LOG($H137/$G143))</f>
      </c>
    </row>
    <row r="149" spans="1:9" ht="15">
      <c r="A149" s="6" t="s">
        <v>127</v>
      </c>
      <c r="D149" s="71" t="s">
        <v>145</v>
      </c>
      <c r="E149" s="70"/>
      <c r="H149" s="71" t="s">
        <v>146</v>
      </c>
      <c r="I149" s="70"/>
    </row>
    <row r="150" ht="13.5">
      <c r="A150" s="7" t="s">
        <v>115</v>
      </c>
    </row>
    <row r="151" spans="1:7" ht="13.5">
      <c r="A151" s="3" t="s">
        <v>2</v>
      </c>
      <c r="B151" s="36" t="s">
        <v>2</v>
      </c>
      <c r="C151" s="3" t="s">
        <v>3</v>
      </c>
      <c r="D151" s="3" t="s">
        <v>31</v>
      </c>
      <c r="E151" s="3" t="s">
        <v>32</v>
      </c>
      <c r="F151" s="3" t="s">
        <v>33</v>
      </c>
      <c r="G151" s="3" t="s">
        <v>7</v>
      </c>
    </row>
    <row r="152" spans="1:7" ht="13.5">
      <c r="A152" s="35">
        <v>1</v>
      </c>
      <c r="B152" s="43"/>
      <c r="C152" s="55">
        <f>IF($B152="","",VLOOKUP($B152,$A$7:$K$16,3))</f>
      </c>
      <c r="D152" s="5">
        <f>IF($B152="","",VLOOKUP($B152,$A$7:$K$16,8))</f>
      </c>
      <c r="E152" s="5">
        <f>IF($B152="","",VLOOKUP($B152,$A$7:$K$16,9))</f>
      </c>
      <c r="F152" s="5">
        <f>IF($B152="","",VLOOKUP($B152,$A$7:$K$16,10))</f>
      </c>
      <c r="G152" s="5">
        <f>IF($B152="","",VLOOKUP($B152,$A$7:$K$16,11))</f>
      </c>
    </row>
    <row r="154" spans="1:11" ht="13.5">
      <c r="A154" s="7" t="s">
        <v>116</v>
      </c>
      <c r="K154" s="7" t="s">
        <v>110</v>
      </c>
    </row>
    <row r="155" spans="1:12" ht="13.5">
      <c r="A155" s="3"/>
      <c r="B155" s="11" t="s">
        <v>113</v>
      </c>
      <c r="C155" s="13"/>
      <c r="D155" s="13"/>
      <c r="E155" s="12"/>
      <c r="F155" s="11" t="s">
        <v>114</v>
      </c>
      <c r="G155" s="13"/>
      <c r="H155" s="13"/>
      <c r="I155" s="12"/>
      <c r="K155" s="3" t="s">
        <v>2</v>
      </c>
      <c r="L155" s="3" t="s">
        <v>121</v>
      </c>
    </row>
    <row r="156" spans="1:12" ht="13.5">
      <c r="A156" s="3" t="s">
        <v>2</v>
      </c>
      <c r="B156" s="36" t="s">
        <v>11</v>
      </c>
      <c r="C156" s="3" t="s">
        <v>117</v>
      </c>
      <c r="D156" s="3"/>
      <c r="E156" s="3"/>
      <c r="F156" s="36" t="s">
        <v>11</v>
      </c>
      <c r="G156" s="3" t="s">
        <v>117</v>
      </c>
      <c r="H156" s="3"/>
      <c r="I156" s="3"/>
      <c r="K156" s="8">
        <v>1</v>
      </c>
      <c r="L156" s="61" t="s">
        <v>111</v>
      </c>
    </row>
    <row r="157" spans="1:12" ht="13.5">
      <c r="A157" s="35">
        <v>1</v>
      </c>
      <c r="B157" s="43"/>
      <c r="C157" s="46">
        <f>IF($B157="","",VLOOKUP($B157,$K156:$L158,2))</f>
      </c>
      <c r="D157" s="5"/>
      <c r="E157" s="5"/>
      <c r="F157" s="43"/>
      <c r="G157" s="46">
        <f>IF($F157="","",IF($C157="Bridge","-",IF($F157&gt;2,"-",VLOOKUP($F157,$K156:$L158,2))))</f>
      </c>
      <c r="H157" s="5"/>
      <c r="I157" s="5"/>
      <c r="J157" s="45" t="s">
        <v>119</v>
      </c>
      <c r="K157" s="8">
        <v>2</v>
      </c>
      <c r="L157" s="61" t="s">
        <v>118</v>
      </c>
    </row>
    <row r="158" spans="11:12" ht="13.5">
      <c r="K158" s="8">
        <v>3</v>
      </c>
      <c r="L158" s="61" t="s">
        <v>112</v>
      </c>
    </row>
    <row r="159" ht="13.5">
      <c r="A159" s="7" t="s">
        <v>88</v>
      </c>
    </row>
    <row r="160" spans="1:9" ht="13.5">
      <c r="A160" s="3"/>
      <c r="B160" s="11" t="s">
        <v>113</v>
      </c>
      <c r="C160" s="13"/>
      <c r="D160" s="13"/>
      <c r="E160" s="12"/>
      <c r="F160" s="11" t="s">
        <v>114</v>
      </c>
      <c r="G160" s="13"/>
      <c r="H160" s="13"/>
      <c r="I160" s="12"/>
    </row>
    <row r="161" spans="1:9" ht="13.5">
      <c r="A161" s="3" t="s">
        <v>2</v>
      </c>
      <c r="B161" s="36" t="s">
        <v>11</v>
      </c>
      <c r="C161" s="3" t="s">
        <v>3</v>
      </c>
      <c r="D161" s="3" t="s">
        <v>8</v>
      </c>
      <c r="E161" s="3" t="s">
        <v>10</v>
      </c>
      <c r="F161" s="36" t="s">
        <v>11</v>
      </c>
      <c r="G161" s="3" t="s">
        <v>3</v>
      </c>
      <c r="H161" s="3" t="s">
        <v>8</v>
      </c>
      <c r="I161" s="3" t="s">
        <v>10</v>
      </c>
    </row>
    <row r="162" spans="1:9" ht="13.5">
      <c r="A162" s="35">
        <v>1</v>
      </c>
      <c r="B162" s="37"/>
      <c r="C162" s="60">
        <f>IF($B162="","",VLOOKUP($B162,$A$20:$H$29,3))</f>
      </c>
      <c r="D162" s="5">
        <f>IF($B162="","",VLOOKUP($B162,$A$20:$H$29,7))</f>
      </c>
      <c r="E162" s="5">
        <f>IF($B162="","",VLOOKUP($B162,$A$20:$H$29,8))</f>
      </c>
      <c r="F162" s="37"/>
      <c r="G162" s="60">
        <f>IF($F162="","",VLOOKUP($F162,$A$20:$H$29,3))</f>
      </c>
      <c r="H162" s="5">
        <f>IF($F162="","",VLOOKUP($F162,$A$20:$H$29,7))</f>
      </c>
      <c r="I162" s="5">
        <f>IF($F162="","",VLOOKUP($F162,$A$20:$H$29,8))</f>
      </c>
    </row>
    <row r="163" spans="1:9" ht="13.5">
      <c r="A163" s="35">
        <v>2</v>
      </c>
      <c r="B163" s="39"/>
      <c r="C163" s="60">
        <f>IF($B163="","",VLOOKUP($B163,$A$20:$H$29,3))</f>
      </c>
      <c r="D163" s="5">
        <f>IF($B163="","",VLOOKUP($B163,$A$20:$H$29,7))</f>
      </c>
      <c r="E163" s="5">
        <f>IF($B163="","",VLOOKUP($B163,$A$20:$H$29,8))</f>
      </c>
      <c r="F163" s="39"/>
      <c r="G163" s="60">
        <f>IF($F163="","",VLOOKUP($F163,$A$20:$H$29,3))</f>
      </c>
      <c r="H163" s="5">
        <f>IF($F163="","",VLOOKUP($F163,$A$20:$H$29,7))</f>
      </c>
      <c r="I163" s="5">
        <f>IF($F163="","",VLOOKUP($F163,$A$20:$H$29,8))</f>
      </c>
    </row>
    <row r="165" ht="13.5">
      <c r="A165" s="7" t="s">
        <v>123</v>
      </c>
    </row>
    <row r="166" spans="1:9" ht="13.5">
      <c r="A166" s="3"/>
      <c r="B166" s="11" t="s">
        <v>113</v>
      </c>
      <c r="C166" s="13"/>
      <c r="D166" s="13"/>
      <c r="E166" s="12"/>
      <c r="F166" s="11" t="s">
        <v>114</v>
      </c>
      <c r="G166" s="13"/>
      <c r="H166" s="13"/>
      <c r="I166" s="12"/>
    </row>
    <row r="167" spans="1:9" ht="13.5">
      <c r="A167" s="3" t="s">
        <v>2</v>
      </c>
      <c r="B167" s="3" t="s">
        <v>122</v>
      </c>
      <c r="C167" s="3" t="s">
        <v>120</v>
      </c>
      <c r="D167" s="3" t="s">
        <v>10</v>
      </c>
      <c r="E167" s="3" t="s">
        <v>143</v>
      </c>
      <c r="F167" s="3" t="s">
        <v>122</v>
      </c>
      <c r="G167" s="3" t="s">
        <v>120</v>
      </c>
      <c r="H167" s="3" t="s">
        <v>10</v>
      </c>
      <c r="I167" s="3" t="s">
        <v>143</v>
      </c>
    </row>
    <row r="168" spans="1:9" ht="13.5">
      <c r="A168" s="5">
        <v>1</v>
      </c>
      <c r="B168" s="47">
        <f>IF($B162="","",IF($C168="","Error","OK"))</f>
      </c>
      <c r="C168" s="5">
        <f>IF($C157="Bridge",VLOOKUP($B152,$A$7:$K$16,10),IF($D168=8,VLOOKUP($B152,$A$7:$K$16,8),IF($D168=4,VLOOKUP($B152,$A$7:$K$16,9),"")))</f>
      </c>
      <c r="D168" s="5">
        <f>IF($C157="Stereo",VLOOKUP(1,$A162:$E163,5),IF($C157="Parallel",((VLOOKUP(1,$A162:$E163,5)*VLOOKUP(2,$A162:$E163,5))/(VLOOKUP(1,$A162:$E163,5)+VLOOKUP(2,$A162:$E163,5))),IF($C157="Bridge",VLOOKUP(1,$A162:$E163,5),"")))</f>
      </c>
      <c r="E168" s="40">
        <f>IF($C168="","",20*LOG($D162/$C168))</f>
      </c>
      <c r="F168" s="47">
        <f>IF($F162="","",IF($F157&gt;2,"",IF($G168="","Error","OK")))</f>
      </c>
      <c r="G168" s="5">
        <f>IF($G157="Bridge",VLOOKUP($B152,$A$7:$K$16,10),IF($H168=8,VLOOKUP($B152,$A$7:$K$16,8),IF($H168=4,VLOOKUP($B152,$A$7:$K$16,9),"")))</f>
      </c>
      <c r="H168" s="5">
        <f>IF($G157="Stereo",VLOOKUP(1,$A162:$I163,9),IF($G157="Parallel",((VLOOKUP(1,$A162:$I163,9)*VLOOKUP(2,$A162:$I163,9))/(VLOOKUP(1,$A162:$I163,9)+VLOOKUP(2,$A162:$I163,9))),IF($G157="Bridge",VLOOKUP(1,$A162:$I163,9),"")))</f>
      </c>
      <c r="I168" s="40">
        <f>IF($G168="","",20*LOG($H162/$G168))</f>
      </c>
    </row>
    <row r="200" ht="15">
      <c r="A200" s="6" t="s">
        <v>93</v>
      </c>
    </row>
    <row r="201" ht="13.5">
      <c r="A201" s="7" t="s">
        <v>86</v>
      </c>
    </row>
    <row r="202" spans="1:11" ht="13.5">
      <c r="A202" s="27" t="s">
        <v>2</v>
      </c>
      <c r="B202" s="26">
        <v>1</v>
      </c>
      <c r="C202" s="26">
        <v>2</v>
      </c>
      <c r="D202" s="26">
        <v>3</v>
      </c>
      <c r="E202" s="26">
        <v>4</v>
      </c>
      <c r="F202" s="26">
        <v>5</v>
      </c>
      <c r="G202" s="26">
        <v>6</v>
      </c>
      <c r="H202" s="26">
        <v>7</v>
      </c>
      <c r="I202" s="26">
        <v>8</v>
      </c>
      <c r="J202" s="26">
        <v>9</v>
      </c>
      <c r="K202" s="26">
        <v>10</v>
      </c>
    </row>
    <row r="203" spans="1:11" ht="13.5">
      <c r="A203" s="27" t="s">
        <v>87</v>
      </c>
      <c r="B203" s="58" t="str">
        <f>$C$7</f>
        <v>P5000S</v>
      </c>
      <c r="C203" s="58" t="str">
        <f>$C$8</f>
        <v>PC3500</v>
      </c>
      <c r="D203" s="58" t="str">
        <f>$C$9</f>
        <v>P2500S</v>
      </c>
      <c r="E203" s="58" t="str">
        <f>$C$10</f>
        <v>PC2002M</v>
      </c>
      <c r="F203" s="58" t="str">
        <f>$C$11</f>
        <v>A150</v>
      </c>
      <c r="G203" s="58" t="str">
        <f>$C$12</f>
        <v>PC1002</v>
      </c>
      <c r="H203" s="58">
        <f>$C$13</f>
      </c>
      <c r="I203" s="58">
        <f>$C$14</f>
      </c>
      <c r="J203" s="58">
        <f>$C$15</f>
      </c>
      <c r="K203" s="58">
        <f>$C$16</f>
      </c>
    </row>
    <row r="204" spans="1:11" ht="13.5">
      <c r="A204" s="27" t="s">
        <v>91</v>
      </c>
      <c r="B204" s="34">
        <f>$F$7</f>
        <v>1</v>
      </c>
      <c r="C204" s="34">
        <f>$F$8</f>
        <v>2</v>
      </c>
      <c r="D204" s="34">
        <f>$F$9</f>
        <v>2</v>
      </c>
      <c r="E204" s="34">
        <f>$F$10</f>
        <v>1</v>
      </c>
      <c r="F204" s="34">
        <f>$F$11</f>
        <v>2</v>
      </c>
      <c r="G204" s="34">
        <f>$F$12</f>
        <v>1</v>
      </c>
      <c r="H204" s="34">
        <f>$F$13</f>
      </c>
      <c r="I204" s="34">
        <f>$F$14</f>
      </c>
      <c r="J204" s="34">
        <f>$F$15</f>
      </c>
      <c r="K204" s="34">
        <f>$F$16</f>
      </c>
    </row>
    <row r="206" ht="13.5">
      <c r="A206" s="7" t="s">
        <v>88</v>
      </c>
    </row>
    <row r="207" spans="1:11" ht="13.5">
      <c r="A207" s="27" t="s">
        <v>2</v>
      </c>
      <c r="B207" s="26">
        <v>1</v>
      </c>
      <c r="C207" s="26">
        <v>2</v>
      </c>
      <c r="D207" s="26">
        <v>3</v>
      </c>
      <c r="E207" s="26">
        <v>4</v>
      </c>
      <c r="F207" s="26">
        <v>5</v>
      </c>
      <c r="G207" s="26">
        <v>6</v>
      </c>
      <c r="H207" s="26">
        <v>7</v>
      </c>
      <c r="I207" s="26">
        <v>8</v>
      </c>
      <c r="J207" s="26">
        <v>9</v>
      </c>
      <c r="K207" s="26">
        <v>10</v>
      </c>
    </row>
    <row r="208" spans="1:11" ht="13.5">
      <c r="A208" s="27" t="s">
        <v>87</v>
      </c>
      <c r="B208" s="58" t="str">
        <f>$C$20</f>
        <v>S215V</v>
      </c>
      <c r="C208" s="58" t="str">
        <f>$C$21</f>
        <v>WF115</v>
      </c>
      <c r="D208" s="58" t="str">
        <f>$C$22</f>
        <v>Sx300</v>
      </c>
      <c r="E208" s="58" t="str">
        <f>$C$23</f>
        <v>SM15IV</v>
      </c>
      <c r="F208" s="58" t="str">
        <f>$C$24</f>
        <v>Eliminator-Monitor</v>
      </c>
      <c r="G208" s="58" t="str">
        <f>$C$25</f>
        <v>SM12V</v>
      </c>
      <c r="H208" s="58" t="str">
        <f>$C$26</f>
        <v>SM12H-II</v>
      </c>
      <c r="I208" s="58" t="str">
        <f>$C$27</f>
        <v>S200</v>
      </c>
      <c r="J208" s="58" t="str">
        <f>$C$28</f>
        <v>101MM</v>
      </c>
      <c r="K208" s="58">
        <f>$C$29</f>
      </c>
    </row>
    <row r="209" spans="1:11" ht="13.5">
      <c r="A209" s="27" t="s">
        <v>92</v>
      </c>
      <c r="B209" s="34">
        <f>$F$20</f>
        <v>2</v>
      </c>
      <c r="C209" s="34">
        <f>$F$21</f>
        <v>2</v>
      </c>
      <c r="D209" s="34">
        <f>$F$22</f>
        <v>2</v>
      </c>
      <c r="E209" s="34">
        <f>$F$23</f>
        <v>2</v>
      </c>
      <c r="F209" s="34">
        <f>$F$24</f>
        <v>4</v>
      </c>
      <c r="G209" s="34">
        <f>$F$25</f>
        <v>2</v>
      </c>
      <c r="H209" s="34">
        <f>$F$26</f>
        <v>2</v>
      </c>
      <c r="I209" s="34">
        <f>$F$27</f>
        <v>0</v>
      </c>
      <c r="J209" s="34">
        <f>$F$28</f>
        <v>1</v>
      </c>
      <c r="K209" s="34">
        <f>$F$29</f>
      </c>
    </row>
  </sheetData>
  <sheetProtection sheet="1" objects="1" scenarios="1"/>
  <mergeCells count="1">
    <mergeCell ref="C2:G2"/>
  </mergeCells>
  <conditionalFormatting sqref="E168 I168 E143 I143 E118 I118 E93 I93 E68 I68 F7:F16 F20:F29 B204:K204 B209:K209">
    <cfRule type="cellIs" priority="1" dxfId="0" operator="lessThan" stopIfTrue="1">
      <formula>0</formula>
    </cfRule>
  </conditionalFormatting>
  <conditionalFormatting sqref="B168 F168 B143 F143 B118 F118 B93 F93 B68 F68">
    <cfRule type="cellIs" priority="2" dxfId="0" operator="equal" stopIfTrue="1">
      <formula>"Error"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V134"/>
  <sheetViews>
    <sheetView workbookViewId="0" topLeftCell="A1">
      <pane ySplit="7155" topLeftCell="BM140" activePane="topLeft" state="split"/>
      <selection pane="topLeft" activeCell="A1" sqref="A1"/>
      <selection pane="bottomLeft" activeCell="F169" sqref="F169"/>
    </sheetView>
  </sheetViews>
  <sheetFormatPr defaultColWidth="8.796875" defaultRowHeight="14.25"/>
  <cols>
    <col min="1" max="1" width="2.796875" style="1" customWidth="1"/>
    <col min="2" max="22" width="8.296875" style="1" customWidth="1"/>
  </cols>
  <sheetData>
    <row r="1" spans="2:3" ht="18">
      <c r="B1" s="2" t="s">
        <v>131</v>
      </c>
      <c r="C1" s="2"/>
    </row>
    <row r="2" spans="2:11" ht="15">
      <c r="B2" s="71" t="s">
        <v>152</v>
      </c>
      <c r="C2" s="98">
        <f>'1_Power Consumption Sheet'!$C$2:$G$2</f>
        <v>0</v>
      </c>
      <c r="D2" s="98"/>
      <c r="E2" s="98"/>
      <c r="F2" s="98"/>
      <c r="G2" s="98"/>
      <c r="K2" s="78" t="str">
        <f>'1_Power Consumption Sheet'!$K$2</f>
        <v>ver.</v>
      </c>
    </row>
    <row r="4" ht="15">
      <c r="A4" s="62" t="s">
        <v>1</v>
      </c>
    </row>
    <row r="5" spans="1:22" ht="13.5">
      <c r="A5" s="64" t="s">
        <v>2</v>
      </c>
      <c r="B5" s="64" t="s">
        <v>30</v>
      </c>
      <c r="C5" s="64" t="s">
        <v>3</v>
      </c>
      <c r="D5" s="64" t="s">
        <v>6</v>
      </c>
      <c r="E5" s="64" t="s">
        <v>94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3.5">
      <c r="A6" s="79">
        <v>1</v>
      </c>
      <c r="B6" s="80">
        <f>IF('1_Power Consumption Sheet'!$B35="","",VLOOKUP('1_Power Consumption Sheet'!$B35,'1_Power Consumption Sheet'!$A$7:$K$16,2))</f>
      </c>
      <c r="C6" s="81">
        <f>'1_Power Consumption Sheet'!$D35</f>
      </c>
      <c r="D6" s="79">
        <f>'1_Power Consumption Sheet'!$E35</f>
      </c>
      <c r="E6" s="79">
        <f>IF('1_Power Consumption Sheet'!$C35="","",VLOOKUP($A6,'1_Power Consumption Sheet'!$A$35:$H$44,3))</f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3.5">
      <c r="A7" s="82">
        <v>2</v>
      </c>
      <c r="B7" s="83">
        <f>IF('1_Power Consumption Sheet'!$B36="","",VLOOKUP('1_Power Consumption Sheet'!$B36,'1_Power Consumption Sheet'!$A$7:$K$16,2))</f>
      </c>
      <c r="C7" s="84">
        <f>'1_Power Consumption Sheet'!$D36</f>
      </c>
      <c r="D7" s="82">
        <f>'1_Power Consumption Sheet'!$E36</f>
      </c>
      <c r="E7" s="82">
        <f>IF('1_Power Consumption Sheet'!$C36="","",VLOOKUP($A7,'1_Power Consumption Sheet'!$A$35:$H$44,3))</f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3.5">
      <c r="A8" s="82">
        <v>3</v>
      </c>
      <c r="B8" s="83">
        <f>IF('1_Power Consumption Sheet'!$B37="","",VLOOKUP('1_Power Consumption Sheet'!$B37,'1_Power Consumption Sheet'!$A$7:$K$16,2))</f>
      </c>
      <c r="C8" s="84">
        <f>'1_Power Consumption Sheet'!$D37</f>
      </c>
      <c r="D8" s="82">
        <f>'1_Power Consumption Sheet'!$E37</f>
      </c>
      <c r="E8" s="82">
        <f>IF('1_Power Consumption Sheet'!$C37="","",VLOOKUP($A8,'1_Power Consumption Sheet'!$A$35:$H$44,3))</f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3.5">
      <c r="A9" s="82">
        <v>4</v>
      </c>
      <c r="B9" s="83">
        <f>IF('1_Power Consumption Sheet'!$B38="","",VLOOKUP('1_Power Consumption Sheet'!$B38,'1_Power Consumption Sheet'!$A$7:$K$16,2))</f>
      </c>
      <c r="C9" s="84">
        <f>'1_Power Consumption Sheet'!$D38</f>
      </c>
      <c r="D9" s="82">
        <f>'1_Power Consumption Sheet'!$E38</f>
      </c>
      <c r="E9" s="82">
        <f>IF('1_Power Consumption Sheet'!$C38="","",VLOOKUP($A9,'1_Power Consumption Sheet'!$A$35:$H$44,3))</f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3.5">
      <c r="A10" s="82">
        <v>5</v>
      </c>
      <c r="B10" s="83">
        <f>IF('1_Power Consumption Sheet'!$B39="","",VLOOKUP('1_Power Consumption Sheet'!$B39,'1_Power Consumption Sheet'!$A$7:$K$16,2))</f>
      </c>
      <c r="C10" s="84">
        <f>'1_Power Consumption Sheet'!$D39</f>
      </c>
      <c r="D10" s="82">
        <f>'1_Power Consumption Sheet'!$E39</f>
      </c>
      <c r="E10" s="82">
        <f>IF('1_Power Consumption Sheet'!$C39="","",VLOOKUP($A10,'1_Power Consumption Sheet'!$A$35:$H$44,3))</f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3.5">
      <c r="A11" s="82">
        <v>6</v>
      </c>
      <c r="B11" s="83">
        <f>IF('1_Power Consumption Sheet'!$B40="","",VLOOKUP('1_Power Consumption Sheet'!$B40,'1_Power Consumption Sheet'!$A$7:$K$16,2))</f>
      </c>
      <c r="C11" s="84">
        <f>'1_Power Consumption Sheet'!$D40</f>
      </c>
      <c r="D11" s="82">
        <f>'1_Power Consumption Sheet'!$E40</f>
      </c>
      <c r="E11" s="82">
        <f>IF('1_Power Consumption Sheet'!$C40="","",VLOOKUP($A11,'1_Power Consumption Sheet'!$A$35:$H$44,3))</f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3.5">
      <c r="A12" s="82">
        <v>7</v>
      </c>
      <c r="B12" s="83">
        <f>IF('1_Power Consumption Sheet'!$B41="","",VLOOKUP('1_Power Consumption Sheet'!$B41,'1_Power Consumption Sheet'!$A$7:$K$16,2))</f>
      </c>
      <c r="C12" s="84">
        <f>'1_Power Consumption Sheet'!$D41</f>
      </c>
      <c r="D12" s="82">
        <f>'1_Power Consumption Sheet'!$E41</f>
      </c>
      <c r="E12" s="82">
        <f>IF('1_Power Consumption Sheet'!$C41="","",VLOOKUP($A12,'1_Power Consumption Sheet'!$A$35:$H$44,3))</f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3.5">
      <c r="A13" s="82">
        <v>8</v>
      </c>
      <c r="B13" s="83">
        <f>IF('1_Power Consumption Sheet'!$B42="","",VLOOKUP('1_Power Consumption Sheet'!$B42,'1_Power Consumption Sheet'!$A$7:$K$16,2))</f>
      </c>
      <c r="C13" s="84">
        <f>'1_Power Consumption Sheet'!$D42</f>
      </c>
      <c r="D13" s="82">
        <f>'1_Power Consumption Sheet'!$E42</f>
      </c>
      <c r="E13" s="82">
        <f>IF('1_Power Consumption Sheet'!$C42="","",VLOOKUP($A13,'1_Power Consumption Sheet'!$A$35:$H$44,3))</f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3.5">
      <c r="A14" s="82">
        <v>9</v>
      </c>
      <c r="B14" s="83">
        <f>IF('1_Power Consumption Sheet'!$B43="","",VLOOKUP('1_Power Consumption Sheet'!$B43,'1_Power Consumption Sheet'!$A$7:$K$16,2))</f>
      </c>
      <c r="C14" s="84">
        <f>'1_Power Consumption Sheet'!$D43</f>
      </c>
      <c r="D14" s="82">
        <f>'1_Power Consumption Sheet'!$E43</f>
      </c>
      <c r="E14" s="82">
        <f>IF('1_Power Consumption Sheet'!$C43="","",VLOOKUP($A14,'1_Power Consumption Sheet'!$A$35:$H$44,3))</f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3.5">
      <c r="A15" s="85">
        <v>10</v>
      </c>
      <c r="B15" s="86">
        <f>IF('1_Power Consumption Sheet'!$B44="","",VLOOKUP('1_Power Consumption Sheet'!$B44,'1_Power Consumption Sheet'!$A$7:$K$16,2))</f>
      </c>
      <c r="C15" s="87">
        <f>'1_Power Consumption Sheet'!$D44</f>
      </c>
      <c r="D15" s="85">
        <f>'1_Power Consumption Sheet'!$E44</f>
      </c>
      <c r="E15" s="85">
        <f>IF('1_Power Consumption Sheet'!$C44="","",VLOOKUP($A15,'1_Power Consumption Sheet'!$A$35:$H$44,3))</f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7" ht="15">
      <c r="A17" s="62" t="s">
        <v>9</v>
      </c>
    </row>
    <row r="18" spans="1:22" ht="13.5">
      <c r="A18" s="64" t="s">
        <v>2</v>
      </c>
      <c r="B18" s="64" t="s">
        <v>30</v>
      </c>
      <c r="C18" s="64" t="s">
        <v>3</v>
      </c>
      <c r="D18" s="76"/>
      <c r="E18" s="64" t="s">
        <v>30</v>
      </c>
      <c r="F18" s="64" t="s">
        <v>3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3.5">
      <c r="A19" s="79">
        <v>1</v>
      </c>
      <c r="B19" s="80">
        <f>IF('1_Power Consumption Sheet'!$I35="","",VLOOKUP('1_Power Consumption Sheet'!$I35,'1_Power Consumption Sheet'!$A$21:$H$30,2))</f>
      </c>
      <c r="C19" s="81">
        <f>'1_Power Consumption Sheet'!$J35</f>
      </c>
      <c r="D19" s="75"/>
      <c r="E19" s="80">
        <f>IF('1_Power Consumption Sheet'!$M35="","",VLOOKUP('1_Power Consumption Sheet'!$M35,'1_Power Consumption Sheet'!$A$21:$H$30,2))</f>
      </c>
      <c r="F19" s="81">
        <f>'1_Power Consumption Sheet'!$N35</f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3.5">
      <c r="A20" s="82">
        <v>2</v>
      </c>
      <c r="B20" s="83">
        <f>IF('1_Power Consumption Sheet'!$I36="","",VLOOKUP('1_Power Consumption Sheet'!$I36,'1_Power Consumption Sheet'!$A$21:$H$30,2))</f>
      </c>
      <c r="C20" s="84">
        <f>'1_Power Consumption Sheet'!$J36</f>
      </c>
      <c r="D20" s="75"/>
      <c r="E20" s="83">
        <f>IF('1_Power Consumption Sheet'!$M36="","",VLOOKUP('1_Power Consumption Sheet'!$M36,'1_Power Consumption Sheet'!$A$21:$H$30,2))</f>
      </c>
      <c r="F20" s="84">
        <f>'1_Power Consumption Sheet'!$N36</f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3.5">
      <c r="A21" s="82">
        <v>3</v>
      </c>
      <c r="B21" s="83">
        <f>IF('1_Power Consumption Sheet'!$I37="","",VLOOKUP('1_Power Consumption Sheet'!$I37,'1_Power Consumption Sheet'!$A$21:$H$30,2))</f>
      </c>
      <c r="C21" s="84">
        <f>'1_Power Consumption Sheet'!$J37</f>
      </c>
      <c r="D21" s="75"/>
      <c r="E21" s="83">
        <f>IF('1_Power Consumption Sheet'!$M37="","",VLOOKUP('1_Power Consumption Sheet'!$M37,'1_Power Consumption Sheet'!$A$21:$H$30,2))</f>
      </c>
      <c r="F21" s="84">
        <f>'1_Power Consumption Sheet'!$N37</f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3.5">
      <c r="A22" s="82">
        <v>4</v>
      </c>
      <c r="B22" s="83">
        <f>IF('1_Power Consumption Sheet'!$I38="","",VLOOKUP('1_Power Consumption Sheet'!$I38,'1_Power Consumption Sheet'!$A$21:$H$30,2))</f>
      </c>
      <c r="C22" s="84">
        <f>'1_Power Consumption Sheet'!$J38</f>
      </c>
      <c r="D22" s="75"/>
      <c r="E22" s="83">
        <f>IF('1_Power Consumption Sheet'!$M38="","",VLOOKUP('1_Power Consumption Sheet'!$M38,'1_Power Consumption Sheet'!$A$21:$H$30,2))</f>
      </c>
      <c r="F22" s="84">
        <f>'1_Power Consumption Sheet'!$N38</f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3.5">
      <c r="A23" s="82">
        <v>5</v>
      </c>
      <c r="B23" s="83">
        <f>IF('1_Power Consumption Sheet'!$I39="","",VLOOKUP('1_Power Consumption Sheet'!$I39,'1_Power Consumption Sheet'!$A$21:$H$30,2))</f>
      </c>
      <c r="C23" s="84">
        <f>'1_Power Consumption Sheet'!$J39</f>
      </c>
      <c r="D23" s="75"/>
      <c r="E23" s="83">
        <f>IF('1_Power Consumption Sheet'!$M39="","",VLOOKUP('1_Power Consumption Sheet'!$M39,'1_Power Consumption Sheet'!$A$21:$H$30,2))</f>
      </c>
      <c r="F23" s="84">
        <f>'1_Power Consumption Sheet'!$N39</f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3.5">
      <c r="A24" s="82">
        <v>6</v>
      </c>
      <c r="B24" s="83">
        <f>IF('1_Power Consumption Sheet'!$I40="","",VLOOKUP('1_Power Consumption Sheet'!$I40,'1_Power Consumption Sheet'!$A$21:$H$30,2))</f>
      </c>
      <c r="C24" s="84">
        <f>'1_Power Consumption Sheet'!$J40</f>
      </c>
      <c r="D24" s="75"/>
      <c r="E24" s="83">
        <f>IF('1_Power Consumption Sheet'!$M40="","",VLOOKUP('1_Power Consumption Sheet'!$M40,'1_Power Consumption Sheet'!$A$21:$H$30,2))</f>
      </c>
      <c r="F24" s="84">
        <f>'1_Power Consumption Sheet'!$N40</f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3.5">
      <c r="A25" s="82">
        <v>7</v>
      </c>
      <c r="B25" s="83">
        <f>IF('1_Power Consumption Sheet'!$I41="","",VLOOKUP('1_Power Consumption Sheet'!$I41,'1_Power Consumption Sheet'!$A$21:$H$30,2))</f>
      </c>
      <c r="C25" s="84">
        <f>'1_Power Consumption Sheet'!$J41</f>
      </c>
      <c r="D25" s="75"/>
      <c r="E25" s="83">
        <f>IF('1_Power Consumption Sheet'!$M41="","",VLOOKUP('1_Power Consumption Sheet'!$M41,'1_Power Consumption Sheet'!$A$21:$H$30,2))</f>
      </c>
      <c r="F25" s="84">
        <f>'1_Power Consumption Sheet'!$N41</f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3.5">
      <c r="A26" s="82">
        <v>8</v>
      </c>
      <c r="B26" s="83">
        <f>IF('1_Power Consumption Sheet'!$I42="","",VLOOKUP('1_Power Consumption Sheet'!$I42,'1_Power Consumption Sheet'!$A$21:$H$30,2))</f>
      </c>
      <c r="C26" s="84">
        <f>'1_Power Consumption Sheet'!$J42</f>
      </c>
      <c r="D26" s="75"/>
      <c r="E26" s="83">
        <f>IF('1_Power Consumption Sheet'!$M42="","",VLOOKUP('1_Power Consumption Sheet'!$M42,'1_Power Consumption Sheet'!$A$21:$H$30,2))</f>
      </c>
      <c r="F26" s="84">
        <f>'1_Power Consumption Sheet'!$N42</f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3.5">
      <c r="A27" s="82">
        <v>9</v>
      </c>
      <c r="B27" s="83">
        <f>IF('1_Power Consumption Sheet'!$I43="","",VLOOKUP('1_Power Consumption Sheet'!$I43,'1_Power Consumption Sheet'!$A$21:$H$30,2))</f>
      </c>
      <c r="C27" s="84">
        <f>'1_Power Consumption Sheet'!$J43</f>
      </c>
      <c r="D27" s="75"/>
      <c r="E27" s="83">
        <f>IF('1_Power Consumption Sheet'!$M43="","",VLOOKUP('1_Power Consumption Sheet'!$M43,'1_Power Consumption Sheet'!$A$21:$H$30,2))</f>
      </c>
      <c r="F27" s="84">
        <f>'1_Power Consumption Sheet'!$N43</f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3.5">
      <c r="A28" s="85">
        <v>10</v>
      </c>
      <c r="B28" s="86">
        <f>IF('1_Power Consumption Sheet'!$I44="","",VLOOKUP('1_Power Consumption Sheet'!$I44,'1_Power Consumption Sheet'!$A$21:$H$30,2))</f>
      </c>
      <c r="C28" s="87">
        <f>'1_Power Consumption Sheet'!$J44</f>
      </c>
      <c r="D28" s="75"/>
      <c r="E28" s="86">
        <f>IF('1_Power Consumption Sheet'!$M44="","",VLOOKUP('1_Power Consumption Sheet'!$M44,'1_Power Consumption Sheet'!$A$21:$H$30,2))</f>
      </c>
      <c r="F28" s="87">
        <f>'1_Power Consumption Sheet'!$N44</f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30" ht="15">
      <c r="A30" s="62" t="s">
        <v>132</v>
      </c>
    </row>
    <row r="31" spans="1:22" ht="13.5">
      <c r="A31" s="64" t="s">
        <v>133</v>
      </c>
      <c r="B31" s="64" t="s">
        <v>134</v>
      </c>
      <c r="C31" s="64" t="s">
        <v>135</v>
      </c>
      <c r="D31" s="64" t="s">
        <v>136</v>
      </c>
      <c r="E31" s="64" t="s">
        <v>137</v>
      </c>
      <c r="Q31"/>
      <c r="R31"/>
      <c r="S31"/>
      <c r="T31"/>
      <c r="U31"/>
      <c r="V31"/>
    </row>
    <row r="32" spans="1:22" ht="13.5">
      <c r="A32" s="79">
        <v>1</v>
      </c>
      <c r="B32" s="80">
        <f>IF('1_Power Consumption Sheet'!$B90="","",VLOOKUP('1_Power Consumption Sheet'!$B90,'1_Power Consumption Sheet'!$A$57:$K$61,2))</f>
      </c>
      <c r="C32" s="81">
        <f>'1_Power Consumption Sheet'!$D90</f>
      </c>
      <c r="D32" s="79">
        <f>'1_Power Consumption Sheet'!$E90</f>
      </c>
      <c r="E32" s="88">
        <f>IF('1_Power Consumption Sheet'!$C90="","",VLOOKUP($A32,'1_Power Consumption Sheet'!$A$90:$I$92,3))</f>
      </c>
      <c r="H32" s="68"/>
      <c r="Q32"/>
      <c r="R32"/>
      <c r="S32"/>
      <c r="T32"/>
      <c r="U32"/>
      <c r="V32"/>
    </row>
    <row r="33" spans="1:22" ht="13.5">
      <c r="A33" s="82">
        <v>2</v>
      </c>
      <c r="B33" s="83">
        <f>IF('1_Power Consumption Sheet'!$B91="","",VLOOKUP('1_Power Consumption Sheet'!$B91,'1_Power Consumption Sheet'!$A$57:$K$61,2))</f>
      </c>
      <c r="C33" s="84">
        <f>'1_Power Consumption Sheet'!$D91</f>
      </c>
      <c r="D33" s="82">
        <f>'1_Power Consumption Sheet'!$E91</f>
      </c>
      <c r="E33" s="89">
        <f>IF('1_Power Consumption Sheet'!$C91="","",VLOOKUP($A33,'1_Power Consumption Sheet'!$A$90:$I$92,3))</f>
      </c>
      <c r="Q33"/>
      <c r="R33"/>
      <c r="S33"/>
      <c r="T33"/>
      <c r="U33"/>
      <c r="V33"/>
    </row>
    <row r="34" spans="1:22" ht="13.5">
      <c r="A34" s="85">
        <v>3</v>
      </c>
      <c r="B34" s="86">
        <f>IF('1_Power Consumption Sheet'!$B92="","",VLOOKUP('1_Power Consumption Sheet'!$B92,'1_Power Consumption Sheet'!$A$57:$K$61,2))</f>
      </c>
      <c r="C34" s="87">
        <f>'1_Power Consumption Sheet'!$D92</f>
      </c>
      <c r="D34" s="85">
        <f>'1_Power Consumption Sheet'!$E92</f>
      </c>
      <c r="E34" s="90">
        <f>IF('1_Power Consumption Sheet'!$C92="","",VLOOKUP($A34,'1_Power Consumption Sheet'!$A$90:$I$92,3))</f>
      </c>
      <c r="Q34"/>
      <c r="R34"/>
      <c r="S34"/>
      <c r="T34"/>
      <c r="U34"/>
      <c r="V34"/>
    </row>
    <row r="36" ht="15">
      <c r="A36" s="62" t="s">
        <v>138</v>
      </c>
    </row>
    <row r="37" spans="1:17" ht="13.5">
      <c r="A37" s="69" t="s">
        <v>2</v>
      </c>
      <c r="B37" s="69" t="s">
        <v>30</v>
      </c>
      <c r="C37" s="69" t="s">
        <v>3</v>
      </c>
      <c r="D37" s="69" t="s">
        <v>6</v>
      </c>
      <c r="E37" s="69" t="s">
        <v>43</v>
      </c>
      <c r="F37" s="69" t="s">
        <v>94</v>
      </c>
      <c r="H37"/>
      <c r="I37"/>
      <c r="J37"/>
      <c r="K37"/>
      <c r="L37"/>
      <c r="M37"/>
      <c r="N37"/>
      <c r="O37"/>
      <c r="P37"/>
      <c r="Q37"/>
    </row>
    <row r="38" spans="1:17" ht="13.5">
      <c r="A38" s="88">
        <v>1</v>
      </c>
      <c r="B38" s="88">
        <f>IF('1_Power Consumption Sheet'!$B96="","",VLOOKUP('1_Power Consumption Sheet'!$B96,'1_Power Consumption Sheet'!$A$66:$I$85,2))</f>
      </c>
      <c r="C38" s="81">
        <f>'1_Power Consumption Sheet'!$D96</f>
      </c>
      <c r="D38" s="79">
        <f>'1_Power Consumption Sheet'!$E96</f>
      </c>
      <c r="E38" s="79">
        <f>'1_Power Consumption Sheet'!$F96</f>
      </c>
      <c r="F38" s="88">
        <f>IF('1_Power Consumption Sheet'!$C96="","",VLOOKUP($A38,'1_Power Consumption Sheet'!$A$96:$G$115,3))</f>
      </c>
      <c r="M38"/>
      <c r="N38"/>
      <c r="O38"/>
      <c r="P38"/>
      <c r="Q38"/>
    </row>
    <row r="39" spans="1:6" ht="13.5">
      <c r="A39" s="89">
        <v>2</v>
      </c>
      <c r="B39" s="89">
        <f>IF('1_Power Consumption Sheet'!$B97="","",VLOOKUP('1_Power Consumption Sheet'!$B97,'1_Power Consumption Sheet'!$A$66:$I$85,2))</f>
      </c>
      <c r="C39" s="84">
        <f>'1_Power Consumption Sheet'!$D97</f>
      </c>
      <c r="D39" s="82">
        <f>'1_Power Consumption Sheet'!$E97</f>
      </c>
      <c r="E39" s="82">
        <f>'1_Power Consumption Sheet'!$F97</f>
      </c>
      <c r="F39" s="89">
        <f>IF('1_Power Consumption Sheet'!$C97="","",VLOOKUP($A39,'1_Power Consumption Sheet'!$A$96:$G$115,3))</f>
      </c>
    </row>
    <row r="40" spans="1:6" ht="13.5">
      <c r="A40" s="89">
        <v>3</v>
      </c>
      <c r="B40" s="89">
        <f>IF('1_Power Consumption Sheet'!$B98="","",VLOOKUP('1_Power Consumption Sheet'!$B98,'1_Power Consumption Sheet'!$A$66:$I$85,2))</f>
      </c>
      <c r="C40" s="84">
        <f>'1_Power Consumption Sheet'!$D98</f>
      </c>
      <c r="D40" s="82">
        <f>'1_Power Consumption Sheet'!$E98</f>
      </c>
      <c r="E40" s="82">
        <f>'1_Power Consumption Sheet'!$F98</f>
      </c>
      <c r="F40" s="89">
        <f>IF('1_Power Consumption Sheet'!$C98="","",VLOOKUP($A40,'1_Power Consumption Sheet'!$A$96:$G$115,3))</f>
      </c>
    </row>
    <row r="41" spans="1:6" ht="13.5">
      <c r="A41" s="89">
        <v>4</v>
      </c>
      <c r="B41" s="89">
        <f>IF('1_Power Consumption Sheet'!$B99="","",VLOOKUP('1_Power Consumption Sheet'!$B99,'1_Power Consumption Sheet'!$A$66:$I$85,2))</f>
      </c>
      <c r="C41" s="84">
        <f>'1_Power Consumption Sheet'!$D99</f>
      </c>
      <c r="D41" s="82">
        <f>'1_Power Consumption Sheet'!$E99</f>
      </c>
      <c r="E41" s="82">
        <f>'1_Power Consumption Sheet'!$F99</f>
      </c>
      <c r="F41" s="89">
        <f>IF('1_Power Consumption Sheet'!$C99="","",VLOOKUP($A41,'1_Power Consumption Sheet'!$A$96:$G$115,3))</f>
      </c>
    </row>
    <row r="42" spans="1:6" ht="13.5">
      <c r="A42" s="89">
        <v>5</v>
      </c>
      <c r="B42" s="89">
        <f>IF('1_Power Consumption Sheet'!$B100="","",VLOOKUP('1_Power Consumption Sheet'!$B100,'1_Power Consumption Sheet'!$A$66:$I$85,2))</f>
      </c>
      <c r="C42" s="84">
        <f>'1_Power Consumption Sheet'!$D100</f>
      </c>
      <c r="D42" s="82">
        <f>'1_Power Consumption Sheet'!$E100</f>
      </c>
      <c r="E42" s="82">
        <f>'1_Power Consumption Sheet'!$F100</f>
      </c>
      <c r="F42" s="89">
        <f>IF('1_Power Consumption Sheet'!$C100="","",VLOOKUP($A42,'1_Power Consumption Sheet'!$A$96:$G$115,3))</f>
      </c>
    </row>
    <row r="43" spans="1:6" ht="13.5">
      <c r="A43" s="89">
        <v>6</v>
      </c>
      <c r="B43" s="89">
        <f>IF('1_Power Consumption Sheet'!$B101="","",VLOOKUP('1_Power Consumption Sheet'!$B101,'1_Power Consumption Sheet'!$A$66:$I$85,2))</f>
      </c>
      <c r="C43" s="84">
        <f>'1_Power Consumption Sheet'!$D101</f>
      </c>
      <c r="D43" s="82">
        <f>'1_Power Consumption Sheet'!$E101</f>
      </c>
      <c r="E43" s="82">
        <f>'1_Power Consumption Sheet'!$F101</f>
      </c>
      <c r="F43" s="89">
        <f>IF('1_Power Consumption Sheet'!$C101="","",VLOOKUP($A43,'1_Power Consumption Sheet'!$A$96:$G$115,3))</f>
      </c>
    </row>
    <row r="44" spans="1:6" ht="13.5">
      <c r="A44" s="89">
        <v>7</v>
      </c>
      <c r="B44" s="89">
        <f>IF('1_Power Consumption Sheet'!$B102="","",VLOOKUP('1_Power Consumption Sheet'!$B102,'1_Power Consumption Sheet'!$A$66:$I$85,2))</f>
      </c>
      <c r="C44" s="84">
        <f>'1_Power Consumption Sheet'!$D102</f>
      </c>
      <c r="D44" s="82">
        <f>'1_Power Consumption Sheet'!$E102</f>
      </c>
      <c r="E44" s="82">
        <f>'1_Power Consumption Sheet'!$F102</f>
      </c>
      <c r="F44" s="89">
        <f>IF('1_Power Consumption Sheet'!$C102="","",VLOOKUP($A44,'1_Power Consumption Sheet'!$A$96:$G$115,3))</f>
      </c>
    </row>
    <row r="45" spans="1:6" ht="13.5">
      <c r="A45" s="89">
        <v>8</v>
      </c>
      <c r="B45" s="89">
        <f>IF('1_Power Consumption Sheet'!$B103="","",VLOOKUP('1_Power Consumption Sheet'!$B103,'1_Power Consumption Sheet'!$A$66:$I$85,2))</f>
      </c>
      <c r="C45" s="84">
        <f>'1_Power Consumption Sheet'!$D103</f>
      </c>
      <c r="D45" s="82">
        <f>'1_Power Consumption Sheet'!$E103</f>
      </c>
      <c r="E45" s="82">
        <f>'1_Power Consumption Sheet'!$F103</f>
      </c>
      <c r="F45" s="89">
        <f>IF('1_Power Consumption Sheet'!$C103="","",VLOOKUP($A45,'1_Power Consumption Sheet'!$A$96:$G$115,3))</f>
      </c>
    </row>
    <row r="46" spans="1:6" ht="13.5">
      <c r="A46" s="89">
        <v>9</v>
      </c>
      <c r="B46" s="89">
        <f>IF('1_Power Consumption Sheet'!$B104="","",VLOOKUP('1_Power Consumption Sheet'!$B104,'1_Power Consumption Sheet'!$A$66:$I$85,2))</f>
      </c>
      <c r="C46" s="84">
        <f>'1_Power Consumption Sheet'!$D104</f>
      </c>
      <c r="D46" s="82">
        <f>'1_Power Consumption Sheet'!$E104</f>
      </c>
      <c r="E46" s="82">
        <f>'1_Power Consumption Sheet'!$F104</f>
      </c>
      <c r="F46" s="89">
        <f>IF('1_Power Consumption Sheet'!$C104="","",VLOOKUP($A46,'1_Power Consumption Sheet'!$A$96:$G$115,3))</f>
      </c>
    </row>
    <row r="47" spans="1:6" ht="13.5">
      <c r="A47" s="89">
        <v>10</v>
      </c>
      <c r="B47" s="89">
        <f>IF('1_Power Consumption Sheet'!$B105="","",VLOOKUP('1_Power Consumption Sheet'!$B105,'1_Power Consumption Sheet'!$A$66:$I$85,2))</f>
      </c>
      <c r="C47" s="84">
        <f>'1_Power Consumption Sheet'!$D105</f>
      </c>
      <c r="D47" s="82">
        <f>'1_Power Consumption Sheet'!$E105</f>
      </c>
      <c r="E47" s="82">
        <f>'1_Power Consumption Sheet'!$F105</f>
      </c>
      <c r="F47" s="89">
        <f>IF('1_Power Consumption Sheet'!$C105="","",VLOOKUP($A47,'1_Power Consumption Sheet'!$A$96:$G$115,3))</f>
      </c>
    </row>
    <row r="48" spans="1:6" ht="13.5">
      <c r="A48" s="89">
        <v>11</v>
      </c>
      <c r="B48" s="89">
        <f>IF('1_Power Consumption Sheet'!$B106="","",VLOOKUP('1_Power Consumption Sheet'!$B106,'1_Power Consumption Sheet'!$A$66:$I$85,2))</f>
      </c>
      <c r="C48" s="84">
        <f>'1_Power Consumption Sheet'!$D106</f>
      </c>
      <c r="D48" s="82">
        <f>'1_Power Consumption Sheet'!$E106</f>
      </c>
      <c r="E48" s="82">
        <f>'1_Power Consumption Sheet'!$F106</f>
      </c>
      <c r="F48" s="89">
        <f>IF('1_Power Consumption Sheet'!$C106="","",VLOOKUP($A48,'1_Power Consumption Sheet'!$A$96:$G$115,3))</f>
      </c>
    </row>
    <row r="49" spans="1:6" ht="13.5">
      <c r="A49" s="89">
        <v>12</v>
      </c>
      <c r="B49" s="89">
        <f>IF('1_Power Consumption Sheet'!$B107="","",VLOOKUP('1_Power Consumption Sheet'!$B107,'1_Power Consumption Sheet'!$A$66:$I$85,2))</f>
      </c>
      <c r="C49" s="84">
        <f>'1_Power Consumption Sheet'!$D107</f>
      </c>
      <c r="D49" s="82">
        <f>'1_Power Consumption Sheet'!$E107</f>
      </c>
      <c r="E49" s="82">
        <f>'1_Power Consumption Sheet'!$F107</f>
      </c>
      <c r="F49" s="89">
        <f>IF('1_Power Consumption Sheet'!$C107="","",VLOOKUP($A49,'1_Power Consumption Sheet'!$A$96:$G$115,3))</f>
      </c>
    </row>
    <row r="50" spans="1:6" ht="13.5">
      <c r="A50" s="89">
        <v>13</v>
      </c>
      <c r="B50" s="89">
        <f>IF('1_Power Consumption Sheet'!$B108="","",VLOOKUP('1_Power Consumption Sheet'!$B108,'1_Power Consumption Sheet'!$A$66:$I$85,2))</f>
      </c>
      <c r="C50" s="84">
        <f>'1_Power Consumption Sheet'!$D108</f>
      </c>
      <c r="D50" s="82">
        <f>'1_Power Consumption Sheet'!$E108</f>
      </c>
      <c r="E50" s="82">
        <f>'1_Power Consumption Sheet'!$F108</f>
      </c>
      <c r="F50" s="89">
        <f>IF('1_Power Consumption Sheet'!$C108="","",VLOOKUP($A50,'1_Power Consumption Sheet'!$A$96:$G$115,3))</f>
      </c>
    </row>
    <row r="51" spans="1:6" ht="13.5">
      <c r="A51" s="89">
        <v>14</v>
      </c>
      <c r="B51" s="89">
        <f>IF('1_Power Consumption Sheet'!$B109="","",VLOOKUP('1_Power Consumption Sheet'!$B109,'1_Power Consumption Sheet'!$A$66:$I$85,2))</f>
      </c>
      <c r="C51" s="84">
        <f>'1_Power Consumption Sheet'!$D109</f>
      </c>
      <c r="D51" s="82">
        <f>'1_Power Consumption Sheet'!$E109</f>
      </c>
      <c r="E51" s="82">
        <f>'1_Power Consumption Sheet'!$F109</f>
      </c>
      <c r="F51" s="89">
        <f>IF('1_Power Consumption Sheet'!$C109="","",VLOOKUP($A51,'1_Power Consumption Sheet'!$A$96:$G$115,3))</f>
      </c>
    </row>
    <row r="52" spans="1:6" ht="13.5">
      <c r="A52" s="89">
        <v>15</v>
      </c>
      <c r="B52" s="89">
        <f>IF('1_Power Consumption Sheet'!$B110="","",VLOOKUP('1_Power Consumption Sheet'!$B110,'1_Power Consumption Sheet'!$A$66:$I$85,2))</f>
      </c>
      <c r="C52" s="84">
        <f>'1_Power Consumption Sheet'!$D110</f>
      </c>
      <c r="D52" s="82">
        <f>'1_Power Consumption Sheet'!$E110</f>
      </c>
      <c r="E52" s="82">
        <f>'1_Power Consumption Sheet'!$F110</f>
      </c>
      <c r="F52" s="89">
        <f>IF('1_Power Consumption Sheet'!$C110="","",VLOOKUP($A52,'1_Power Consumption Sheet'!$A$96:$G$115,3))</f>
      </c>
    </row>
    <row r="53" spans="1:6" ht="13.5">
      <c r="A53" s="89">
        <v>16</v>
      </c>
      <c r="B53" s="89">
        <f>IF('1_Power Consumption Sheet'!$B111="","",VLOOKUP('1_Power Consumption Sheet'!$B111,'1_Power Consumption Sheet'!$A$66:$I$85,2))</f>
      </c>
      <c r="C53" s="84">
        <f>'1_Power Consumption Sheet'!$D111</f>
      </c>
      <c r="D53" s="82">
        <f>'1_Power Consumption Sheet'!$E111</f>
      </c>
      <c r="E53" s="82">
        <f>'1_Power Consumption Sheet'!$F111</f>
      </c>
      <c r="F53" s="89">
        <f>IF('1_Power Consumption Sheet'!$C111="","",VLOOKUP($A53,'1_Power Consumption Sheet'!$A$96:$G$115,3))</f>
      </c>
    </row>
    <row r="54" spans="1:6" ht="13.5">
      <c r="A54" s="89">
        <v>17</v>
      </c>
      <c r="B54" s="89">
        <f>IF('1_Power Consumption Sheet'!$B112="","",VLOOKUP('1_Power Consumption Sheet'!$B112,'1_Power Consumption Sheet'!$A$66:$I$85,2))</f>
      </c>
      <c r="C54" s="84">
        <f>'1_Power Consumption Sheet'!$D112</f>
      </c>
      <c r="D54" s="82">
        <f>'1_Power Consumption Sheet'!$E112</f>
      </c>
      <c r="E54" s="82">
        <f>'1_Power Consumption Sheet'!$F112</f>
      </c>
      <c r="F54" s="89">
        <f>IF('1_Power Consumption Sheet'!$C112="","",VLOOKUP($A54,'1_Power Consumption Sheet'!$A$96:$G$115,3))</f>
      </c>
    </row>
    <row r="55" spans="1:6" ht="13.5">
      <c r="A55" s="89">
        <v>18</v>
      </c>
      <c r="B55" s="89">
        <f>IF('1_Power Consumption Sheet'!$B113="","",VLOOKUP('1_Power Consumption Sheet'!$B113,'1_Power Consumption Sheet'!$A$66:$I$85,2))</f>
      </c>
      <c r="C55" s="84">
        <f>'1_Power Consumption Sheet'!$D113</f>
      </c>
      <c r="D55" s="82">
        <f>'1_Power Consumption Sheet'!$E113</f>
      </c>
      <c r="E55" s="82">
        <f>'1_Power Consumption Sheet'!$F113</f>
      </c>
      <c r="F55" s="89">
        <f>IF('1_Power Consumption Sheet'!$C113="","",VLOOKUP($A55,'1_Power Consumption Sheet'!$A$96:$G$115,3))</f>
      </c>
    </row>
    <row r="56" spans="1:6" ht="13.5">
      <c r="A56" s="89">
        <v>19</v>
      </c>
      <c r="B56" s="89">
        <f>IF('1_Power Consumption Sheet'!$B114="","",VLOOKUP('1_Power Consumption Sheet'!$B114,'1_Power Consumption Sheet'!$A$66:$I$85,2))</f>
      </c>
      <c r="C56" s="84">
        <f>'1_Power Consumption Sheet'!$D114</f>
      </c>
      <c r="D56" s="82">
        <f>'1_Power Consumption Sheet'!$E114</f>
      </c>
      <c r="E56" s="82">
        <f>'1_Power Consumption Sheet'!$F114</f>
      </c>
      <c r="F56" s="89">
        <f>IF('1_Power Consumption Sheet'!$C114="","",VLOOKUP($A56,'1_Power Consumption Sheet'!$A$96:$G$115,3))</f>
      </c>
    </row>
    <row r="57" spans="1:6" ht="13.5">
      <c r="A57" s="90">
        <v>20</v>
      </c>
      <c r="B57" s="90">
        <f>IF('1_Power Consumption Sheet'!$B115="","",VLOOKUP('1_Power Consumption Sheet'!$B115,'1_Power Consumption Sheet'!$A$66:$I$85,2))</f>
      </c>
      <c r="C57" s="87">
        <f>'1_Power Consumption Sheet'!$D115</f>
      </c>
      <c r="D57" s="85">
        <f>'1_Power Consumption Sheet'!$E115</f>
      </c>
      <c r="E57" s="85">
        <f>'1_Power Consumption Sheet'!$F115</f>
      </c>
      <c r="F57" s="90">
        <f>IF('1_Power Consumption Sheet'!$C115="","",VLOOKUP($A57,'1_Power Consumption Sheet'!$A$96:$G$115,3))</f>
      </c>
    </row>
    <row r="59" ht="15">
      <c r="A59" s="62" t="s">
        <v>139</v>
      </c>
    </row>
    <row r="60" ht="13.5">
      <c r="A60" s="66" t="s">
        <v>101</v>
      </c>
    </row>
    <row r="61" spans="1:6" ht="13.5">
      <c r="A61" s="64"/>
      <c r="B61" s="64" t="s">
        <v>140</v>
      </c>
      <c r="C61" s="64"/>
      <c r="D61" s="64" t="s">
        <v>141</v>
      </c>
      <c r="E61" s="64"/>
      <c r="F61" s="64" t="s">
        <v>95</v>
      </c>
    </row>
    <row r="62" spans="1:6" ht="13.5">
      <c r="A62" s="65"/>
      <c r="B62" s="65">
        <f>'1_Power Consumption Sheet'!$B$128</f>
        <v>0</v>
      </c>
      <c r="C62" s="67" t="s">
        <v>142</v>
      </c>
      <c r="D62" s="65">
        <f>'1_Power Consumption Sheet'!$D$128</f>
        <v>0</v>
      </c>
      <c r="E62" s="67" t="s">
        <v>83</v>
      </c>
      <c r="F62" s="65">
        <f>'1_Power Consumption Sheet'!$F$128</f>
        <v>0</v>
      </c>
    </row>
    <row r="64" ht="13.5">
      <c r="A64" s="66" t="s">
        <v>130</v>
      </c>
    </row>
    <row r="65" spans="1:11" ht="13.5">
      <c r="A65" s="64"/>
      <c r="B65" s="64" t="s">
        <v>100</v>
      </c>
      <c r="C65" s="64" t="s">
        <v>96</v>
      </c>
      <c r="D65" s="64" t="s">
        <v>97</v>
      </c>
      <c r="E65" s="64" t="s">
        <v>98</v>
      </c>
      <c r="F65" s="64" t="s">
        <v>99</v>
      </c>
      <c r="G65" s="64" t="s">
        <v>102</v>
      </c>
      <c r="H65" s="64" t="s">
        <v>103</v>
      </c>
      <c r="I65" s="64" t="s">
        <v>104</v>
      </c>
      <c r="J65" s="64" t="s">
        <v>105</v>
      </c>
      <c r="K65" s="64" t="s">
        <v>106</v>
      </c>
    </row>
    <row r="66" spans="1:11" ht="13.5">
      <c r="A66" s="63"/>
      <c r="B66" s="63">
        <f>'1_Power Consumption Sheet'!$B$132</f>
        <v>0</v>
      </c>
      <c r="C66" s="63">
        <f>'1_Power Consumption Sheet'!$C$132</f>
        <v>0</v>
      </c>
      <c r="D66" s="63">
        <f>'1_Power Consumption Sheet'!$D$132</f>
        <v>0</v>
      </c>
      <c r="E66" s="63">
        <f>'1_Power Consumption Sheet'!$E$132</f>
        <v>0</v>
      </c>
      <c r="F66" s="63">
        <f>'1_Power Consumption Sheet'!$F$132</f>
        <v>0</v>
      </c>
      <c r="G66" s="63">
        <f>'1_Power Consumption Sheet'!$G$132</f>
        <v>0</v>
      </c>
      <c r="H66" s="63">
        <f>'1_Power Consumption Sheet'!$H$132</f>
        <v>0</v>
      </c>
      <c r="I66" s="63">
        <f>'1_Power Consumption Sheet'!$I$132</f>
        <v>0</v>
      </c>
      <c r="J66" s="63">
        <f>'1_Power Consumption Sheet'!$J$132</f>
        <v>0</v>
      </c>
      <c r="K66" s="63">
        <f>'1_Power Consumption Sheet'!$K$132</f>
        <v>0</v>
      </c>
    </row>
    <row r="70" spans="2:3" ht="18">
      <c r="B70" s="2" t="s">
        <v>107</v>
      </c>
      <c r="C70" s="2"/>
    </row>
    <row r="71" spans="2:11" ht="15">
      <c r="B71" s="71" t="s">
        <v>152</v>
      </c>
      <c r="C71" s="98">
        <f>'1_Power Consumption Sheet'!$C$2:$G$2</f>
        <v>0</v>
      </c>
      <c r="D71" s="98"/>
      <c r="E71" s="98"/>
      <c r="F71" s="98"/>
      <c r="G71" s="98"/>
      <c r="K71" s="78" t="str">
        <f>'1_Power Consumption Sheet'!$K$2</f>
        <v>ver.</v>
      </c>
    </row>
    <row r="73" spans="1:9" ht="15">
      <c r="A73" s="62" t="s">
        <v>147</v>
      </c>
      <c r="D73" s="71" t="s">
        <v>145</v>
      </c>
      <c r="E73" s="72">
        <f>'2_Speaker System Sheet'!$E49</f>
        <v>0</v>
      </c>
      <c r="H73" s="71" t="s">
        <v>146</v>
      </c>
      <c r="I73" s="72">
        <f>'2_Speaker System Sheet'!$I49</f>
        <v>0</v>
      </c>
    </row>
    <row r="74" ht="13.5">
      <c r="A74" s="66" t="s">
        <v>148</v>
      </c>
    </row>
    <row r="75" spans="1:3" ht="13.5">
      <c r="A75" s="64" t="s">
        <v>2</v>
      </c>
      <c r="B75" s="64" t="s">
        <v>30</v>
      </c>
      <c r="C75" s="64" t="s">
        <v>3</v>
      </c>
    </row>
    <row r="76" spans="1:3" ht="13.5">
      <c r="A76" s="73">
        <v>1</v>
      </c>
      <c r="B76" s="73">
        <f>IF('2_Speaker System Sheet'!$B52="","",VLOOKUP('2_Speaker System Sheet'!$B52,'2_Speaker System Sheet'!$A$7:$K$16,2))</f>
      </c>
      <c r="C76" s="77">
        <f>'2_Speaker System Sheet'!$C52</f>
      </c>
    </row>
    <row r="78" ht="13.5">
      <c r="A78" s="66" t="s">
        <v>151</v>
      </c>
    </row>
    <row r="79" spans="2:6" ht="13.5">
      <c r="B79" s="1" t="s">
        <v>150</v>
      </c>
      <c r="F79" s="1" t="s">
        <v>114</v>
      </c>
    </row>
    <row r="80" spans="1:9" ht="13.5">
      <c r="A80" s="64" t="s">
        <v>2</v>
      </c>
      <c r="B80" s="64" t="s">
        <v>30</v>
      </c>
      <c r="C80" s="64" t="s">
        <v>3</v>
      </c>
      <c r="D80" s="64" t="s">
        <v>149</v>
      </c>
      <c r="E80" s="64" t="s">
        <v>144</v>
      </c>
      <c r="F80" s="64" t="s">
        <v>30</v>
      </c>
      <c r="G80" s="64" t="s">
        <v>3</v>
      </c>
      <c r="H80" s="64" t="s">
        <v>149</v>
      </c>
      <c r="I80" s="64" t="s">
        <v>144</v>
      </c>
    </row>
    <row r="81" spans="1:9" ht="13.5">
      <c r="A81" s="91">
        <v>1</v>
      </c>
      <c r="B81" s="91">
        <f>IF('2_Speaker System Sheet'!$B62="","",VLOOKUP('2_Speaker System Sheet'!$B62,'2_Speaker System Sheet'!$A$20:$H$28,2))</f>
      </c>
      <c r="C81" s="92">
        <f>'2_Speaker System Sheet'!$C62</f>
      </c>
      <c r="D81" s="91">
        <f>'2_Speaker System Sheet'!$C57</f>
      </c>
      <c r="E81" s="93">
        <f>'2_Speaker System Sheet'!$E68</f>
      </c>
      <c r="F81" s="91">
        <f>IF('2_Speaker System Sheet'!$F62="","",VLOOKUP('2_Speaker System Sheet'!$F62,'2_Speaker System Sheet'!$A$20:$H$28,2))</f>
      </c>
      <c r="G81" s="92">
        <f>'2_Speaker System Sheet'!$G62</f>
      </c>
      <c r="H81" s="91">
        <f>'2_Speaker System Sheet'!$G57</f>
      </c>
      <c r="I81" s="93">
        <f>'2_Speaker System Sheet'!$I68</f>
      </c>
    </row>
    <row r="82" spans="1:9" ht="13.5">
      <c r="A82" s="94">
        <v>2</v>
      </c>
      <c r="B82" s="94">
        <f>IF('2_Speaker System Sheet'!$B63="","",VLOOKUP('2_Speaker System Sheet'!$B63,'2_Speaker System Sheet'!$A$20:$H$28,2))</f>
      </c>
      <c r="C82" s="95">
        <f>'2_Speaker System Sheet'!$C63</f>
      </c>
      <c r="D82" s="94" t="s">
        <v>19</v>
      </c>
      <c r="E82" s="94" t="s">
        <v>19</v>
      </c>
      <c r="F82" s="94">
        <f>IF('2_Speaker System Sheet'!$F63="","",VLOOKUP('2_Speaker System Sheet'!$F63,'2_Speaker System Sheet'!$A$20:$H$28,2))</f>
      </c>
      <c r="G82" s="95">
        <f>'2_Speaker System Sheet'!$G63</f>
      </c>
      <c r="H82" s="94" t="s">
        <v>19</v>
      </c>
      <c r="I82" s="94" t="s">
        <v>19</v>
      </c>
    </row>
    <row r="86" spans="1:9" ht="15">
      <c r="A86" s="62" t="s">
        <v>124</v>
      </c>
      <c r="D86" s="71" t="s">
        <v>145</v>
      </c>
      <c r="E86" s="72">
        <f>'2_Speaker System Sheet'!$E74</f>
        <v>0</v>
      </c>
      <c r="H86" s="71" t="s">
        <v>146</v>
      </c>
      <c r="I86" s="72">
        <f>'2_Speaker System Sheet'!$I74</f>
        <v>0</v>
      </c>
    </row>
    <row r="87" ht="13.5">
      <c r="A87" s="66" t="s">
        <v>148</v>
      </c>
    </row>
    <row r="88" spans="1:3" ht="13.5">
      <c r="A88" s="64" t="s">
        <v>2</v>
      </c>
      <c r="B88" s="64" t="s">
        <v>30</v>
      </c>
      <c r="C88" s="64" t="s">
        <v>3</v>
      </c>
    </row>
    <row r="89" spans="1:6" ht="13.5">
      <c r="A89" s="73">
        <v>1</v>
      </c>
      <c r="B89" s="73">
        <f>IF('2_Speaker System Sheet'!$B77="","",VLOOKUP('2_Speaker System Sheet'!$B77,'2_Speaker System Sheet'!$A$7:$K$16,2))</f>
      </c>
      <c r="C89" s="74">
        <f>'2_Speaker System Sheet'!$C77</f>
      </c>
      <c r="F89" s="68"/>
    </row>
    <row r="91" ht="13.5">
      <c r="A91" s="66" t="s">
        <v>151</v>
      </c>
    </row>
    <row r="92" spans="2:6" ht="13.5">
      <c r="B92" s="1" t="s">
        <v>150</v>
      </c>
      <c r="F92" s="1" t="s">
        <v>114</v>
      </c>
    </row>
    <row r="93" spans="1:9" ht="13.5">
      <c r="A93" s="64" t="s">
        <v>2</v>
      </c>
      <c r="B93" s="64" t="s">
        <v>30</v>
      </c>
      <c r="C93" s="64" t="s">
        <v>3</v>
      </c>
      <c r="D93" s="64" t="s">
        <v>149</v>
      </c>
      <c r="E93" s="64" t="s">
        <v>144</v>
      </c>
      <c r="F93" s="64" t="s">
        <v>30</v>
      </c>
      <c r="G93" s="64" t="s">
        <v>3</v>
      </c>
      <c r="H93" s="64" t="s">
        <v>149</v>
      </c>
      <c r="I93" s="64" t="s">
        <v>144</v>
      </c>
    </row>
    <row r="94" spans="1:9" ht="13.5">
      <c r="A94" s="91">
        <v>1</v>
      </c>
      <c r="B94" s="91">
        <f>IF('2_Speaker System Sheet'!$B87="","",VLOOKUP('2_Speaker System Sheet'!$B87,'2_Speaker System Sheet'!$A$20:$H$28,2))</f>
      </c>
      <c r="C94" s="92">
        <f>'2_Speaker System Sheet'!$C87</f>
      </c>
      <c r="D94" s="91">
        <f>'2_Speaker System Sheet'!$C82</f>
      </c>
      <c r="E94" s="93">
        <f>'2_Speaker System Sheet'!$E93</f>
      </c>
      <c r="F94" s="91">
        <f>IF('2_Speaker System Sheet'!$F87="","",VLOOKUP('2_Speaker System Sheet'!$F87,'2_Speaker System Sheet'!$A$20:$H$28,2))</f>
      </c>
      <c r="G94" s="92">
        <f>'2_Speaker System Sheet'!$G87</f>
      </c>
      <c r="H94" s="91">
        <f>'2_Speaker System Sheet'!$G82</f>
      </c>
      <c r="I94" s="93">
        <f>'2_Speaker System Sheet'!$I93</f>
      </c>
    </row>
    <row r="95" spans="1:9" ht="13.5">
      <c r="A95" s="94">
        <v>2</v>
      </c>
      <c r="B95" s="94">
        <f>IF('2_Speaker System Sheet'!$B88="","",VLOOKUP('2_Speaker System Sheet'!$B88,'2_Speaker System Sheet'!$A$20:$H$28,2))</f>
      </c>
      <c r="C95" s="95">
        <f>'2_Speaker System Sheet'!$C88</f>
      </c>
      <c r="D95" s="94" t="s">
        <v>19</v>
      </c>
      <c r="E95" s="94" t="s">
        <v>19</v>
      </c>
      <c r="F95" s="94">
        <f>IF('2_Speaker System Sheet'!$F88="","",VLOOKUP('2_Speaker System Sheet'!$F88,'2_Speaker System Sheet'!$A$20:$H$28,2))</f>
      </c>
      <c r="G95" s="95">
        <f>'2_Speaker System Sheet'!$G88</f>
      </c>
      <c r="H95" s="94" t="s">
        <v>19</v>
      </c>
      <c r="I95" s="94" t="s">
        <v>19</v>
      </c>
    </row>
    <row r="99" spans="1:9" ht="15">
      <c r="A99" s="62" t="s">
        <v>125</v>
      </c>
      <c r="D99" s="71" t="s">
        <v>145</v>
      </c>
      <c r="E99" s="72">
        <f>'2_Speaker System Sheet'!$E99</f>
        <v>0</v>
      </c>
      <c r="H99" s="71" t="s">
        <v>146</v>
      </c>
      <c r="I99" s="72">
        <f>'2_Speaker System Sheet'!$I99</f>
        <v>0</v>
      </c>
    </row>
    <row r="100" ht="13.5">
      <c r="A100" s="66" t="s">
        <v>148</v>
      </c>
    </row>
    <row r="101" spans="1:3" ht="13.5">
      <c r="A101" s="64" t="s">
        <v>2</v>
      </c>
      <c r="B101" s="64" t="s">
        <v>30</v>
      </c>
      <c r="C101" s="64" t="s">
        <v>3</v>
      </c>
    </row>
    <row r="102" spans="1:7" ht="13.5">
      <c r="A102" s="73">
        <v>1</v>
      </c>
      <c r="B102" s="73">
        <f>IF('2_Speaker System Sheet'!$B102="","",VLOOKUP('2_Speaker System Sheet'!$B102,'2_Speaker System Sheet'!$A$7:$K$16,2))</f>
      </c>
      <c r="C102" s="74">
        <f>'2_Speaker System Sheet'!$C102</f>
      </c>
      <c r="F102" s="68"/>
      <c r="G102" s="68"/>
    </row>
    <row r="104" ht="13.5">
      <c r="A104" s="66" t="s">
        <v>151</v>
      </c>
    </row>
    <row r="105" spans="2:6" ht="13.5">
      <c r="B105" s="1" t="s">
        <v>150</v>
      </c>
      <c r="F105" s="1" t="s">
        <v>114</v>
      </c>
    </row>
    <row r="106" spans="1:9" ht="13.5">
      <c r="A106" s="64" t="s">
        <v>2</v>
      </c>
      <c r="B106" s="64" t="s">
        <v>30</v>
      </c>
      <c r="C106" s="64" t="s">
        <v>3</v>
      </c>
      <c r="D106" s="64" t="s">
        <v>149</v>
      </c>
      <c r="E106" s="64" t="s">
        <v>144</v>
      </c>
      <c r="F106" s="64" t="s">
        <v>30</v>
      </c>
      <c r="G106" s="64" t="s">
        <v>3</v>
      </c>
      <c r="H106" s="64" t="s">
        <v>149</v>
      </c>
      <c r="I106" s="64" t="s">
        <v>144</v>
      </c>
    </row>
    <row r="107" spans="1:9" ht="13.5">
      <c r="A107" s="91">
        <v>1</v>
      </c>
      <c r="B107" s="91">
        <f>IF('2_Speaker System Sheet'!$B112="","",VLOOKUP('2_Speaker System Sheet'!$B112,'2_Speaker System Sheet'!$A$20:$H$28,2))</f>
      </c>
      <c r="C107" s="92">
        <f>'2_Speaker System Sheet'!$C112</f>
      </c>
      <c r="D107" s="91">
        <f>'2_Speaker System Sheet'!$C107</f>
      </c>
      <c r="E107" s="93">
        <f>'2_Speaker System Sheet'!$E118</f>
      </c>
      <c r="F107" s="91">
        <f>IF('2_Speaker System Sheet'!$F112="","",VLOOKUP('2_Speaker System Sheet'!$F112,'2_Speaker System Sheet'!$A$20:$H$28,2))</f>
      </c>
      <c r="G107" s="92">
        <f>'2_Speaker System Sheet'!$G112</f>
      </c>
      <c r="H107" s="91">
        <f>'2_Speaker System Sheet'!$G107</f>
      </c>
      <c r="I107" s="93">
        <f>'2_Speaker System Sheet'!$I118</f>
      </c>
    </row>
    <row r="108" spans="1:9" ht="13.5">
      <c r="A108" s="94">
        <v>2</v>
      </c>
      <c r="B108" s="94">
        <f>IF('2_Speaker System Sheet'!$B113="","",VLOOKUP('2_Speaker System Sheet'!$B113,'2_Speaker System Sheet'!$A$20:$H$28,2))</f>
      </c>
      <c r="C108" s="95">
        <f>'2_Speaker System Sheet'!$C113</f>
      </c>
      <c r="D108" s="94" t="s">
        <v>19</v>
      </c>
      <c r="E108" s="94" t="s">
        <v>19</v>
      </c>
      <c r="F108" s="94">
        <f>IF('2_Speaker System Sheet'!$F113="","",VLOOKUP('2_Speaker System Sheet'!$F113,'2_Speaker System Sheet'!$A$20:$H$28,2))</f>
      </c>
      <c r="G108" s="95">
        <f>'2_Speaker System Sheet'!$G113</f>
      </c>
      <c r="H108" s="94" t="s">
        <v>19</v>
      </c>
      <c r="I108" s="94" t="s">
        <v>19</v>
      </c>
    </row>
    <row r="112" spans="1:9" ht="15">
      <c r="A112" s="62" t="s">
        <v>126</v>
      </c>
      <c r="D112" s="71" t="s">
        <v>145</v>
      </c>
      <c r="E112" s="72">
        <f>'2_Speaker System Sheet'!$E124</f>
        <v>0</v>
      </c>
      <c r="H112" s="71" t="s">
        <v>146</v>
      </c>
      <c r="I112" s="72">
        <f>'2_Speaker System Sheet'!$I124</f>
        <v>0</v>
      </c>
    </row>
    <row r="113" ht="13.5">
      <c r="A113" s="66" t="s">
        <v>148</v>
      </c>
    </row>
    <row r="114" spans="1:3" ht="13.5">
      <c r="A114" s="64" t="s">
        <v>2</v>
      </c>
      <c r="B114" s="64" t="s">
        <v>30</v>
      </c>
      <c r="C114" s="64" t="s">
        <v>3</v>
      </c>
    </row>
    <row r="115" spans="1:8" ht="13.5">
      <c r="A115" s="73">
        <v>1</v>
      </c>
      <c r="B115" s="73">
        <f>IF('2_Speaker System Sheet'!$B127="","",VLOOKUP('2_Speaker System Sheet'!$B127,'2_Speaker System Sheet'!$A$7:$K$16,2))</f>
      </c>
      <c r="C115" s="74">
        <f>'2_Speaker System Sheet'!$C127</f>
      </c>
      <c r="F115" s="68"/>
      <c r="G115" s="68"/>
      <c r="H115" s="68"/>
    </row>
    <row r="117" ht="13.5">
      <c r="A117" s="66" t="s">
        <v>151</v>
      </c>
    </row>
    <row r="118" spans="2:6" ht="13.5">
      <c r="B118" s="1" t="s">
        <v>150</v>
      </c>
      <c r="F118" s="1" t="s">
        <v>114</v>
      </c>
    </row>
    <row r="119" spans="1:9" ht="13.5">
      <c r="A119" s="64" t="s">
        <v>2</v>
      </c>
      <c r="B119" s="64" t="s">
        <v>30</v>
      </c>
      <c r="C119" s="64" t="s">
        <v>3</v>
      </c>
      <c r="D119" s="64" t="s">
        <v>149</v>
      </c>
      <c r="E119" s="64" t="s">
        <v>144</v>
      </c>
      <c r="F119" s="64" t="s">
        <v>30</v>
      </c>
      <c r="G119" s="64" t="s">
        <v>3</v>
      </c>
      <c r="H119" s="64" t="s">
        <v>149</v>
      </c>
      <c r="I119" s="64" t="s">
        <v>144</v>
      </c>
    </row>
    <row r="120" spans="1:9" ht="13.5">
      <c r="A120" s="91">
        <v>1</v>
      </c>
      <c r="B120" s="91">
        <f>IF('2_Speaker System Sheet'!$B137="","",VLOOKUP('2_Speaker System Sheet'!$B137,'2_Speaker System Sheet'!$A$20:$H$28,2))</f>
      </c>
      <c r="C120" s="92">
        <f>'2_Speaker System Sheet'!$C137</f>
      </c>
      <c r="D120" s="91">
        <f>'2_Speaker System Sheet'!$C132</f>
      </c>
      <c r="E120" s="93">
        <f>'2_Speaker System Sheet'!$E143</f>
      </c>
      <c r="F120" s="91">
        <f>IF('2_Speaker System Sheet'!$F137="","",VLOOKUP('2_Speaker System Sheet'!$F137,'2_Speaker System Sheet'!$A$20:$H$28,2))</f>
      </c>
      <c r="G120" s="92">
        <f>'2_Speaker System Sheet'!$G137</f>
      </c>
      <c r="H120" s="91">
        <f>'2_Speaker System Sheet'!$G132</f>
      </c>
      <c r="I120" s="93">
        <f>'2_Speaker System Sheet'!$I143</f>
      </c>
    </row>
    <row r="121" spans="1:9" ht="13.5">
      <c r="A121" s="94">
        <v>2</v>
      </c>
      <c r="B121" s="94">
        <f>IF('2_Speaker System Sheet'!$B138="","",VLOOKUP('2_Speaker System Sheet'!$B138,'2_Speaker System Sheet'!$A$20:$H$28,2))</f>
      </c>
      <c r="C121" s="95">
        <f>'2_Speaker System Sheet'!$C138</f>
      </c>
      <c r="D121" s="94" t="s">
        <v>19</v>
      </c>
      <c r="E121" s="94" t="s">
        <v>19</v>
      </c>
      <c r="F121" s="94">
        <f>IF('2_Speaker System Sheet'!$F138="","",VLOOKUP('2_Speaker System Sheet'!$F138,'2_Speaker System Sheet'!$A$20:$H$28,2))</f>
      </c>
      <c r="G121" s="95">
        <f>'2_Speaker System Sheet'!$G138</f>
      </c>
      <c r="H121" s="94" t="s">
        <v>19</v>
      </c>
      <c r="I121" s="94" t="s">
        <v>19</v>
      </c>
    </row>
    <row r="125" spans="1:9" ht="15">
      <c r="A125" s="62" t="s">
        <v>127</v>
      </c>
      <c r="D125" s="71" t="s">
        <v>145</v>
      </c>
      <c r="E125" s="72">
        <f>'2_Speaker System Sheet'!$E149</f>
        <v>0</v>
      </c>
      <c r="H125" s="71" t="s">
        <v>146</v>
      </c>
      <c r="I125" s="72">
        <f>'2_Speaker System Sheet'!$I149</f>
        <v>0</v>
      </c>
    </row>
    <row r="126" ht="13.5">
      <c r="A126" s="66" t="s">
        <v>148</v>
      </c>
    </row>
    <row r="127" spans="1:3" ht="13.5">
      <c r="A127" s="64" t="s">
        <v>2</v>
      </c>
      <c r="B127" s="64" t="s">
        <v>30</v>
      </c>
      <c r="C127" s="64" t="s">
        <v>3</v>
      </c>
    </row>
    <row r="128" spans="1:9" ht="13.5">
      <c r="A128" s="73">
        <v>1</v>
      </c>
      <c r="B128" s="73">
        <f>IF('2_Speaker System Sheet'!$B152="","",VLOOKUP('2_Speaker System Sheet'!$B152,'2_Speaker System Sheet'!$A$7:$K$16,2))</f>
      </c>
      <c r="C128" s="74">
        <f>'2_Speaker System Sheet'!$C152</f>
      </c>
      <c r="F128" s="68"/>
      <c r="G128" s="68"/>
      <c r="H128" s="68"/>
      <c r="I128" s="68"/>
    </row>
    <row r="130" ht="13.5">
      <c r="A130" s="66" t="s">
        <v>151</v>
      </c>
    </row>
    <row r="131" spans="2:6" ht="13.5">
      <c r="B131" s="1" t="s">
        <v>150</v>
      </c>
      <c r="F131" s="1" t="s">
        <v>114</v>
      </c>
    </row>
    <row r="132" spans="1:9" ht="13.5">
      <c r="A132" s="64" t="s">
        <v>2</v>
      </c>
      <c r="B132" s="64" t="s">
        <v>30</v>
      </c>
      <c r="C132" s="64" t="s">
        <v>3</v>
      </c>
      <c r="D132" s="64" t="s">
        <v>149</v>
      </c>
      <c r="E132" s="64" t="s">
        <v>144</v>
      </c>
      <c r="F132" s="64" t="s">
        <v>30</v>
      </c>
      <c r="G132" s="64" t="s">
        <v>3</v>
      </c>
      <c r="H132" s="64" t="s">
        <v>149</v>
      </c>
      <c r="I132" s="64" t="s">
        <v>144</v>
      </c>
    </row>
    <row r="133" spans="1:9" ht="13.5">
      <c r="A133" s="91">
        <v>1</v>
      </c>
      <c r="B133" s="91">
        <f>IF('2_Speaker System Sheet'!$B162="","",VLOOKUP('2_Speaker System Sheet'!$B162,'2_Speaker System Sheet'!$A$20:$H$28,2))</f>
      </c>
      <c r="C133" s="92">
        <f>'2_Speaker System Sheet'!$C162</f>
      </c>
      <c r="D133" s="91">
        <f>'2_Speaker System Sheet'!$C157</f>
      </c>
      <c r="E133" s="93">
        <f>'2_Speaker System Sheet'!$E168</f>
      </c>
      <c r="F133" s="91">
        <f>IF('2_Speaker System Sheet'!$F162="","",VLOOKUP('2_Speaker System Sheet'!$F162,'2_Speaker System Sheet'!$A$20:$H$28,2))</f>
      </c>
      <c r="G133" s="92">
        <f>'2_Speaker System Sheet'!$G162</f>
      </c>
      <c r="H133" s="91">
        <f>'2_Speaker System Sheet'!$G157</f>
      </c>
      <c r="I133" s="93">
        <f>'2_Speaker System Sheet'!$I168</f>
      </c>
    </row>
    <row r="134" spans="1:9" ht="13.5">
      <c r="A134" s="94">
        <v>2</v>
      </c>
      <c r="B134" s="94">
        <f>IF('2_Speaker System Sheet'!$B163="","",VLOOKUP('2_Speaker System Sheet'!$B163,'2_Speaker System Sheet'!$A$20:$H$28,2))</f>
      </c>
      <c r="C134" s="95">
        <f>'2_Speaker System Sheet'!$C163</f>
      </c>
      <c r="D134" s="94" t="s">
        <v>19</v>
      </c>
      <c r="E134" s="94" t="s">
        <v>19</v>
      </c>
      <c r="F134" s="94">
        <f>IF('2_Speaker System Sheet'!$F163="","",VLOOKUP('2_Speaker System Sheet'!$F163,'2_Speaker System Sheet'!$A$20:$H$28,2))</f>
      </c>
      <c r="G134" s="95">
        <f>'2_Speaker System Sheet'!$G163</f>
      </c>
      <c r="H134" s="94" t="s">
        <v>19</v>
      </c>
      <c r="I134" s="94" t="s">
        <v>19</v>
      </c>
    </row>
  </sheetData>
  <sheetProtection sheet="1" objects="1" scenarios="1"/>
  <mergeCells count="2">
    <mergeCell ref="C2:G2"/>
    <mergeCell ref="C71:G71"/>
  </mergeCells>
  <conditionalFormatting sqref="I81:I82 I94:I95 I107:I108 I120:I121 I133:I134 E81:E82 E94:E95 E107:E108 E120:E121 E133:E134">
    <cfRule type="cellIs" priority="1" dxfId="1" operator="lessThan" stopIfTrue="1">
      <formula>0</formula>
    </cfRule>
  </conditionalFormatting>
  <printOptions/>
  <pageMargins left="0.7874015748031497" right="0.7874015748031497" top="0.7874015748031497" bottom="0.7874015748031497" header="0" footer="0.5118110236220472"/>
  <pageSetup orientation="portrait" paperSize="9" scale="85" r:id="rId1"/>
  <headerFooter alignWithMargins="0">
    <oddFooter>&amp;C&amp;"Verdana,斜体"&amp;10Tokyo University of Technology  -  Advanced Creators</oddFooter>
  </headerFooter>
  <rowBreaks count="2" manualBreakCount="2">
    <brk id="66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Advanced Creators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XIAORING</dc:creator>
  <cp:keywords/>
  <dc:description/>
  <cp:lastModifiedBy>Fuminori Kobayashi</cp:lastModifiedBy>
  <cp:lastPrinted>2006-06-06T06:20:29Z</cp:lastPrinted>
  <dcterms:created xsi:type="dcterms:W3CDTF">2006-03-16T07:34:56Z</dcterms:created>
  <dcterms:modified xsi:type="dcterms:W3CDTF">2006-12-04T05:25:00Z</dcterms:modified>
  <cp:category/>
  <cp:version/>
  <cp:contentType/>
  <cp:contentStatus/>
</cp:coreProperties>
</file>